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worksheets/sheet5.xml" ContentType="application/vnd.openxmlformats-officedocument.spreadsheetml.worksheet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drawings/drawing2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7.xml" ContentType="application/vnd.openxmlformats-officedocument.drawing+xml"/>
  <Override PartName="/xl/worksheets/sheet11.xml" ContentType="application/vnd.openxmlformats-officedocument.spreadsheetml.worksheet+xml"/>
  <Override PartName="/xl/drawings/drawing46.xml" ContentType="application/vnd.openxmlformats-officedocument.drawing+xml"/>
  <Override PartName="/xl/worksheets/sheet12.xml" ContentType="application/vnd.openxmlformats-officedocument.spreadsheetml.worksheet+xml"/>
  <Override PartName="/xl/drawings/drawing49.xml" ContentType="application/vnd.openxmlformats-officedocument.drawing+xml"/>
  <Override PartName="/xl/worksheets/sheet13.xml" ContentType="application/vnd.openxmlformats-officedocument.spreadsheetml.worksheet+xml"/>
  <Override PartName="/xl/drawings/drawing52.xml" ContentType="application/vnd.openxmlformats-officedocument.drawing+xml"/>
  <Override PartName="/xl/worksheets/sheet14.xml" ContentType="application/vnd.openxmlformats-officedocument.spreadsheetml.worksheet+xml"/>
  <Override PartName="/xl/drawings/drawing57.xml" ContentType="application/vnd.openxmlformats-officedocument.drawing+xml"/>
  <Override PartName="/xl/worksheets/sheet15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730" activeTab="0"/>
  </bookViews>
  <sheets>
    <sheet name="Св" sheetId="1" r:id="rId1"/>
    <sheet name="ЩелрН" sheetId="2" r:id="rId2"/>
    <sheet name="рН" sheetId="3" r:id="rId3"/>
    <sheet name="ЩелКонд" sheetId="4" r:id="rId4"/>
    <sheet name="ХлорКонд" sheetId="5" r:id="rId5"/>
    <sheet name="ПотСa" sheetId="6" r:id="rId6"/>
    <sheet name="CaПотТитр" sheetId="7" r:id="rId7"/>
    <sheet name="Caконд" sheetId="8" r:id="rId8"/>
    <sheet name="SO4" sheetId="9" r:id="rId9"/>
    <sheet name="NO3доб" sheetId="10" r:id="rId10"/>
    <sheet name="Fдоб" sheetId="11" r:id="rId11"/>
    <sheet name="CaЭлКал" sheetId="12" r:id="rId12"/>
    <sheet name="FЭлКал" sheetId="13" r:id="rId13"/>
    <sheet name="NO3ЭлКал" sheetId="14" r:id="rId14"/>
    <sheet name="G(T)" sheetId="15" r:id="rId15"/>
  </sheets>
  <definedNames/>
  <calcPr fullCalcOnLoad="1"/>
</workbook>
</file>

<file path=xl/sharedStrings.xml><?xml version="1.0" encoding="utf-8"?>
<sst xmlns="http://schemas.openxmlformats.org/spreadsheetml/2006/main" count="679" uniqueCount="191">
  <si>
    <t>Сводная таблица</t>
  </si>
  <si>
    <t>результатов исследования воды в водоемах окр. д. Фенево</t>
  </si>
  <si>
    <t>Объем титруемой пробы</t>
  </si>
  <si>
    <t>мл</t>
  </si>
  <si>
    <t>С(HCl)</t>
  </si>
  <si>
    <t>M</t>
  </si>
  <si>
    <t>C(ЭДТА)</t>
  </si>
  <si>
    <t>К3</t>
  </si>
  <si>
    <t>Н1</t>
  </si>
  <si>
    <t>C(Ag)</t>
  </si>
  <si>
    <t>С(Na2S2O3)</t>
  </si>
  <si>
    <t>Точка</t>
  </si>
  <si>
    <t>К2</t>
  </si>
  <si>
    <t>К4</t>
  </si>
  <si>
    <t>Дата</t>
  </si>
  <si>
    <t>Температура G</t>
  </si>
  <si>
    <t>Проводимость, мкСм/см</t>
  </si>
  <si>
    <t>Проводимость, приведенная к 25С, мкСм/см</t>
  </si>
  <si>
    <t>рН по рН-метру Sb</t>
  </si>
  <si>
    <t>рН по рН-метру стекл</t>
  </si>
  <si>
    <t>Цветность, град</t>
  </si>
  <si>
    <t>Щелочность общая по БФС, мМ</t>
  </si>
  <si>
    <t>Щелочность общая рН-метрически (Sb), мМ</t>
  </si>
  <si>
    <t>Щелочность общая рН-метрически (стекло), мМ</t>
  </si>
  <si>
    <t>Щелочность общая кондуктометрически, мМ</t>
  </si>
  <si>
    <t>Жесткость, мМ</t>
  </si>
  <si>
    <t>Кальций по мурексиду, мМ</t>
  </si>
  <si>
    <t>Жесткость пот. титр.</t>
  </si>
  <si>
    <t>Са пот. титр.</t>
  </si>
  <si>
    <t>Са конд.</t>
  </si>
  <si>
    <t>Хлориды по хромату, мМ</t>
  </si>
  <si>
    <t>Хлориды кондуктометрически, мМ</t>
  </si>
  <si>
    <t>О2, мкМ</t>
  </si>
  <si>
    <t>Железо (II), мкМ</t>
  </si>
  <si>
    <t>сл</t>
  </si>
  <si>
    <t>Железо общее, мкМ</t>
  </si>
  <si>
    <t>pF</t>
  </si>
  <si>
    <t>pNO3</t>
  </si>
  <si>
    <t>Относительные расхождения</t>
  </si>
  <si>
    <t>Щелочность конд/инд</t>
  </si>
  <si>
    <t>Щелочность рН/инд</t>
  </si>
  <si>
    <t>Щелочность рН/конд</t>
  </si>
  <si>
    <t>Относительные ионные дисбалансы</t>
  </si>
  <si>
    <t>Щелочность инд.</t>
  </si>
  <si>
    <t>Щелочность конд.</t>
  </si>
  <si>
    <t>Щелочность рН</t>
  </si>
  <si>
    <t>Ионная сила, мМ</t>
  </si>
  <si>
    <t>Щелочность, доли от Глубошни</t>
  </si>
  <si>
    <t>Жесткость, доли от Глубошни</t>
  </si>
  <si>
    <t>Электропроводность, доли от Глубошни</t>
  </si>
  <si>
    <t>Цветность, доли от Глубошни</t>
  </si>
  <si>
    <t>Насыщение кислородом, мМ</t>
  </si>
  <si>
    <t>Доля от насыщенного</t>
  </si>
  <si>
    <t>Сопоставление результатов потенциометрического определения общей щелочности по стеклянному и сурьмяному электродам</t>
  </si>
  <si>
    <t>Титрование проводилось в одном сосуд, куда опускали электрод. Туда же добавляли индикатор.</t>
  </si>
  <si>
    <t>Объем</t>
  </si>
  <si>
    <t>КТТ</t>
  </si>
  <si>
    <t>рН Sb</t>
  </si>
  <si>
    <t>рН ст.</t>
  </si>
  <si>
    <t>V(пробы)</t>
  </si>
  <si>
    <t>V(HCl)</t>
  </si>
  <si>
    <t>[H+]</t>
  </si>
  <si>
    <t>рН</t>
  </si>
  <si>
    <t>Результаты кондуктометрического титрования щелочности</t>
  </si>
  <si>
    <t>G, мкСм/см</t>
  </si>
  <si>
    <t>Результаты определения хлоридов методом кондуктометрического титрования</t>
  </si>
  <si>
    <t>Объем, мл</t>
  </si>
  <si>
    <t>G</t>
  </si>
  <si>
    <t>Е1</t>
  </si>
  <si>
    <t>Е2</t>
  </si>
  <si>
    <t>Е3</t>
  </si>
  <si>
    <t>рСа1</t>
  </si>
  <si>
    <t>рСа2</t>
  </si>
  <si>
    <t>рСа3</t>
  </si>
  <si>
    <t>рСа(мурексид)</t>
  </si>
  <si>
    <t>Результаты потенциометрчиеского титрования жесткости и кальция</t>
  </si>
  <si>
    <t>Титруем пробу ЭДТА по Ca-селективному электроду в присутсвии аммиачного буфера (5 мл 1 М) и сульфида натрия (0.5 мл 10%)</t>
  </si>
  <si>
    <t>V пробы</t>
  </si>
  <si>
    <t>М</t>
  </si>
  <si>
    <t>КТТ Са</t>
  </si>
  <si>
    <t>КТТ жесткость</t>
  </si>
  <si>
    <t>Е</t>
  </si>
  <si>
    <t>Без сульфида</t>
  </si>
  <si>
    <t>С сульфидом</t>
  </si>
  <si>
    <t>Кондуктометрическое определение кальция</t>
  </si>
  <si>
    <t>В 100 мл пробы добавляют K2C2O4, смотрят проводимость в первый момент после добавления и после того, как она, упав, выйдет на плато</t>
  </si>
  <si>
    <t>C(K2C2O4)</t>
  </si>
  <si>
    <t>V(K2C2O4)</t>
  </si>
  <si>
    <t>К1</t>
  </si>
  <si>
    <t>G0 (начальная)</t>
  </si>
  <si>
    <t>Gm (после добавления реагента)</t>
  </si>
  <si>
    <t>Gt (после выполаживания проводимости)</t>
  </si>
  <si>
    <t>C(Ca) по мурексиду</t>
  </si>
  <si>
    <t>Gm-Gt</t>
  </si>
  <si>
    <t>Оксалат кислый!</t>
  </si>
  <si>
    <t>Проверяем корректность кондуктометрического определения сульфатов (по разности электропроводностей) методом добавок</t>
  </si>
  <si>
    <t>Собственно кондуктометрическое определение сульфатов</t>
  </si>
  <si>
    <t>В 100 мл пробы добавляют BaCl2, смотрят проводимость в первый момент после добавления реагента. Потом добавляют BaSO4 для ускорения образования осадка сомтрят проводимость после того, как она, упав, выйдет на плато</t>
  </si>
  <si>
    <t>C(BaCl2)</t>
  </si>
  <si>
    <t>V(BaCl2)</t>
  </si>
  <si>
    <t>Во всех пробах проводимость после добавления BaCl2 и BaSO4 не падала</t>
  </si>
  <si>
    <t>Проверяем корректность</t>
  </si>
  <si>
    <t>К пробе добавляют р-р MgSO4 на 0.02М Na2S2O3</t>
  </si>
  <si>
    <t>C(MgSO4)</t>
  </si>
  <si>
    <t>C(Na2S2O3)</t>
  </si>
  <si>
    <t>V</t>
  </si>
  <si>
    <t>В Т1</t>
  </si>
  <si>
    <t>V(Na2S2O3)</t>
  </si>
  <si>
    <t>V(SO42-)</t>
  </si>
  <si>
    <t>С(SO42-)</t>
  </si>
  <si>
    <t>Gr (после добавления сульфата)</t>
  </si>
  <si>
    <t>tC</t>
  </si>
  <si>
    <t>Проверка правильности показаний ИСЭ на нитраты методом добавок</t>
  </si>
  <si>
    <t>К пробе добавляли р-р NО3- и смотрели потенциал</t>
  </si>
  <si>
    <t>Объем пробы</t>
  </si>
  <si>
    <t>Конц-ция NO3-</t>
  </si>
  <si>
    <t>Калибровочная ф-ция</t>
  </si>
  <si>
    <t>рС=(Е-</t>
  </si>
  <si>
    <t>)/</t>
  </si>
  <si>
    <t>Объем реагента</t>
  </si>
  <si>
    <t>Суммарный объем пробы</t>
  </si>
  <si>
    <t>Дополнительная концентрация, мМ</t>
  </si>
  <si>
    <t>Потенциал</t>
  </si>
  <si>
    <t>рС из потенциала</t>
  </si>
  <si>
    <t>C из потенциала, мМ</t>
  </si>
  <si>
    <t>C суммарная рассч. из эксп. С0, мМ</t>
  </si>
  <si>
    <t>Отн. ошибка</t>
  </si>
  <si>
    <t>pС0</t>
  </si>
  <si>
    <t>а</t>
  </si>
  <si>
    <t>b</t>
  </si>
  <si>
    <t>pC</t>
  </si>
  <si>
    <t>рС</t>
  </si>
  <si>
    <t>C, мМ</t>
  </si>
  <si>
    <t>рС по кал. графику</t>
  </si>
  <si>
    <t>рС по подбору</t>
  </si>
  <si>
    <t>средн</t>
  </si>
  <si>
    <t>min</t>
  </si>
  <si>
    <t>max</t>
  </si>
  <si>
    <t>Разница</t>
  </si>
  <si>
    <t>Цветность</t>
  </si>
  <si>
    <t>Щелочность</t>
  </si>
  <si>
    <t>Жесткость</t>
  </si>
  <si>
    <t>Проверка правильности показаний ИСЭ на фториды методом добавок</t>
  </si>
  <si>
    <t>К пробе добавляли р-р F- и смотрели потенциал</t>
  </si>
  <si>
    <t>Уж не вяжутся ли фториды чем-нибудь?</t>
  </si>
  <si>
    <t>Конц-ция F-</t>
  </si>
  <si>
    <t>Ca2+</t>
  </si>
  <si>
    <t>C</t>
  </si>
  <si>
    <t>Е при</t>
  </si>
  <si>
    <t>Параметры</t>
  </si>
  <si>
    <t>a=</t>
  </si>
  <si>
    <t>b=</t>
  </si>
  <si>
    <t>pC(Ca) расч</t>
  </si>
  <si>
    <t>C(Ca) расч</t>
  </si>
  <si>
    <t>Отн. погрешность</t>
  </si>
  <si>
    <t>Раскачка</t>
  </si>
  <si>
    <t>pС(Ca) расч.</t>
  </si>
  <si>
    <t>С(Ca) расч.</t>
  </si>
  <si>
    <t>С(Ca) реальн.</t>
  </si>
  <si>
    <t>F-</t>
  </si>
  <si>
    <t>Калибровка от 08.07.03 (перед экспедицией)</t>
  </si>
  <si>
    <t>E</t>
  </si>
  <si>
    <t>a</t>
  </si>
  <si>
    <t>Моделируем</t>
  </si>
  <si>
    <t>pC0</t>
  </si>
  <si>
    <t>С=</t>
  </si>
  <si>
    <t>C доб.</t>
  </si>
  <si>
    <t>М пробы, мл</t>
  </si>
  <si>
    <t>V доб.</t>
  </si>
  <si>
    <t>V сумм</t>
  </si>
  <si>
    <t>С, мМ</t>
  </si>
  <si>
    <t>NO3-</t>
  </si>
  <si>
    <t>pC(NO3) расч</t>
  </si>
  <si>
    <t>C(NO3) расч</t>
  </si>
  <si>
    <t>pС(NO3) расч.</t>
  </si>
  <si>
    <t>С(NO3) расч.</t>
  </si>
  <si>
    <t>С(NO3) реальн.</t>
  </si>
  <si>
    <t>Наложение диапазонов из экспедиции</t>
  </si>
  <si>
    <t>a\b</t>
  </si>
  <si>
    <t>В оригинале — отрицательно</t>
  </si>
  <si>
    <t>Зависимость электропроводности от температуры</t>
  </si>
  <si>
    <t>Температура</t>
  </si>
  <si>
    <t>Электрпроводность</t>
  </si>
  <si>
    <t>% на градус</t>
  </si>
  <si>
    <t>Наклон</t>
  </si>
  <si>
    <t>Отрезок</t>
  </si>
  <si>
    <t>G(25)</t>
  </si>
  <si>
    <t>T(G=0)</t>
  </si>
  <si>
    <t>G(25)/наклон</t>
  </si>
  <si>
    <t>Обратное</t>
  </si>
  <si>
    <t>Средний процент на градус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</si>
</sst>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&quot;$&quot;;\-#,##0&quot;$&quot;"/>
    <numFmt numFmtId="167" formatCode="#,##0&quot;$&quot;;[Red]\-#,##0&quot;$&quot;"/>
    <numFmt numFmtId="168" formatCode="#,##0.00&quot;$&quot;;\-#,##0.00&quot;$&quot;"/>
    <numFmt numFmtId="169" formatCode="#,##0.00&quot;$&quot;;[Red]\-#,##0.00&quot;$&quot;"/>
    <numFmt numFmtId="170" formatCode="_-* #,##0&quot;$&quot;_-;\-* #,##0&quot;$&quot;_-;_-* &quot;-&quot;&quot;$&quot;_-;_-@_-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sz val="8.25"/>
      <name val="Arial Cyr"/>
      <family val="0"/>
    </font>
    <font>
      <sz val="10"/>
      <name val="Arial"/>
      <family val="0"/>
    </font>
    <font>
      <sz val="9.75"/>
      <name val="Arial Cyr"/>
      <family val="0"/>
    </font>
    <font>
      <sz val="8"/>
      <name val="Arial CYR"/>
      <family val="2"/>
    </font>
    <font>
      <b/>
      <vertAlign val="subscript"/>
      <sz val="10"/>
      <name val="Arial Cyr"/>
      <family val="2"/>
    </font>
    <font>
      <sz val="10"/>
      <color indexed="10"/>
      <name val="Arial Cyr"/>
      <family val="2"/>
    </font>
    <font>
      <b/>
      <sz val="16"/>
      <name val="Arial Cyr"/>
      <family val="2"/>
    </font>
    <font>
      <b/>
      <sz val="14"/>
      <color indexed="14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Symbol"/>
      <family val="1"/>
    </font>
    <font>
      <b/>
      <sz val="9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NumberFormat="1">
      <alignment/>
      <protection/>
    </xf>
  </cellXfs>
  <cellStyles count="7">
    <cellStyle name="Normal" xfId="0"/>
    <cellStyle name="Normal_Сводная (2)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8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Св!$B$19:$L$19</c:f>
              <c:numCache/>
            </c:numRef>
          </c:xVal>
          <c:yVal>
            <c:numRef>
              <c:f>Св!$B$22:$L$22</c:f>
              <c:numCache/>
            </c:numRef>
          </c:yVal>
          <c:smooth val="0"/>
        </c:ser>
        <c:axId val="5698713"/>
        <c:axId val="51288418"/>
      </c:scatterChart>
      <c:valAx>
        <c:axId val="5698713"/>
        <c:scaling>
          <c:orientation val="minMax"/>
          <c:max val="6"/>
        </c:scaling>
        <c:axPos val="b"/>
        <c:delete val="0"/>
        <c:numFmt formatCode="General" sourceLinked="1"/>
        <c:majorTickMark val="in"/>
        <c:minorTickMark val="none"/>
        <c:tickLblPos val="nextTo"/>
        <c:crossAx val="51288418"/>
        <c:crosses val="autoZero"/>
        <c:crossBetween val="midCat"/>
        <c:dispUnits/>
      </c:valAx>
      <c:valAx>
        <c:axId val="51288418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6987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Св!$B$15:$L$15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Св!$B$23:$L$23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5001027"/>
        <c:axId val="25247196"/>
      </c:scatterChart>
      <c:valAx>
        <c:axId val="550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47196"/>
        <c:crosses val="autoZero"/>
        <c:crossBetween val="midCat"/>
        <c:dispUnits/>
      </c:valAx>
      <c:valAx>
        <c:axId val="252471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01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"/>
          <c:w val="0.835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0.021x - 5.2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NO3ЭлКал!$C$6:$G$6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0.019x - 4.45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NO3ЭлКал!$C$7:$G$7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4140359"/>
        <c:axId val="15936640"/>
      </c:scatterChart>
      <c:valAx>
        <c:axId val="24140359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5936640"/>
        <c:crosses val="autoZero"/>
        <c:crossBetween val="midCat"/>
        <c:dispUnits/>
        <c:majorUnit val="50"/>
        <c:minorUnit val="10"/>
      </c:valAx>
      <c:valAx>
        <c:axId val="159366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crossAx val="241403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1"/>
          <c:y val="0.4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857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NO3ЭлКал!$C$6:$G$6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NO3ЭлКал!$C$7:$G$7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9212033"/>
        <c:axId val="15799434"/>
      </c:scatterChart>
      <c:valAx>
        <c:axId val="9212033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799434"/>
        <c:crosses val="autoZero"/>
        <c:crossBetween val="midCat"/>
        <c:dispUnits/>
        <c:majorUnit val="50"/>
        <c:minorUnit val="10"/>
      </c:valAx>
      <c:valAx>
        <c:axId val="15799434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2120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60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NO3ЭлКал!$C$6:$G$6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7977179"/>
        <c:axId val="4685748"/>
      </c:scatterChart>
      <c:valAx>
        <c:axId val="7977179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685748"/>
        <c:crosses val="autoZero"/>
        <c:crossBetween val="midCat"/>
        <c:dispUnits/>
        <c:majorUnit val="50"/>
        <c:minorUnit val="10"/>
      </c:valAx>
      <c:valAx>
        <c:axId val="468574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79771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"/>
          <c:w val="0.771"/>
          <c:h val="0.914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0.021x - 5.2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NO3ЭлКал!$C$6:$G$6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0.019x - 4.45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NO3ЭлКал!$C$7:$G$7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NO3ЭлКал!$C$5:$G$5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2"/>
          <c:spPr>
            <a:ln w="3175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NO3ЭлКал!$D$41:$E$41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NO3ЭлКал!$D$43:$E$43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NO3ЭлКал!$B$42:$C$42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NO3ЭлКал!$B$43:$C$43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NO3ЭлКал!$B$41:$C$41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NO3ЭлКал!$B$43:$C$43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NO3ЭлКал!$D$42:$E$42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NO3ЭлКал!$D$43:$E$43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2171733"/>
        <c:axId val="44001278"/>
      </c:scatterChart>
      <c:valAx>
        <c:axId val="42171733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4001278"/>
        <c:crosses val="autoZero"/>
        <c:crossBetween val="midCat"/>
        <c:dispUnits/>
        <c:majorUnit val="50"/>
        <c:minorUnit val="10"/>
      </c:valAx>
      <c:valAx>
        <c:axId val="440012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crossAx val="421717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325"/>
          <c:y val="0.3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'G(T)'!$B$6:$J$6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'G(T)'!$B$7:$J$7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0467183"/>
        <c:axId val="7333736"/>
      </c:scatterChart>
      <c:valAx>
        <c:axId val="60467183"/>
        <c:scaling>
          <c:orientation val="minMax"/>
          <c:max val="26"/>
          <c:min val="18"/>
        </c:scaling>
        <c:axPos val="b"/>
        <c:delete val="0"/>
        <c:numFmt formatCode="General" sourceLinked="1"/>
        <c:majorTickMark val="in"/>
        <c:minorTickMark val="none"/>
        <c:tickLblPos val="nextTo"/>
        <c:crossAx val="7333736"/>
        <c:crosses val="autoZero"/>
        <c:crossBetween val="midCat"/>
        <c:dispUnits/>
      </c:valAx>
      <c:valAx>
        <c:axId val="7333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671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60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'G(T)'!$B$16:$P$16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'G(T)'!$B$17:$P$17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6003625"/>
        <c:axId val="57161714"/>
      </c:scatterChart>
      <c:valAx>
        <c:axId val="66003625"/>
        <c:scaling>
          <c:orientation val="minMax"/>
          <c:max val="26"/>
          <c:min val="16"/>
        </c:scaling>
        <c:axPos val="b"/>
        <c:delete val="0"/>
        <c:numFmt formatCode="General" sourceLinked="1"/>
        <c:majorTickMark val="in"/>
        <c:minorTickMark val="none"/>
        <c:tickLblPos val="nextTo"/>
        <c:crossAx val="57161714"/>
        <c:crosses val="autoZero"/>
        <c:crossBetween val="midCat"/>
        <c:dispUnits/>
      </c:valAx>
      <c:valAx>
        <c:axId val="57161714"/>
        <c:scaling>
          <c:orientation val="minMax"/>
          <c:max val="230"/>
          <c:min val="185"/>
        </c:scaling>
        <c:axPos val="l"/>
        <c:delete val="0"/>
        <c:numFmt formatCode="General" sourceLinked="1"/>
        <c:majorTickMark val="in"/>
        <c:minorTickMark val="none"/>
        <c:tickLblPos val="nextTo"/>
        <c:crossAx val="660036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</c:trendlineLbl>
          </c:trendline>
          <c:xVal>
            <c:numRef>
              <c:f>Св!$B$24:$L$24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5898173"/>
        <c:axId val="31756966"/>
      </c:scatterChart>
      <c:valAx>
        <c:axId val="25898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56966"/>
        <c:crosses val="autoZero"/>
        <c:crossBetween val="midCat"/>
        <c:dispUnits/>
      </c:valAx>
      <c:valAx>
        <c:axId val="317569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258981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</c:trendlineLbl>
          </c:trendline>
          <c:xVal>
            <c:numRef>
              <c:f>Св!$B$23:$L$23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7377239"/>
        <c:axId val="22177424"/>
      </c:scatterChart>
      <c:valAx>
        <c:axId val="1737723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22177424"/>
        <c:crosses val="autoZero"/>
        <c:crossBetween val="midCat"/>
        <c:dispUnits/>
      </c:valAx>
      <c:valAx>
        <c:axId val="221774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73772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Св!$B$19:$L$19</c:f>
              <c:numCache/>
            </c:numRef>
          </c:xVal>
          <c:yVal>
            <c:numRef>
              <c:f>Св!$B$21:$L$21</c:f>
              <c:numCache/>
            </c:numRef>
          </c:yVal>
          <c:smooth val="0"/>
        </c:ser>
        <c:axId val="65379089"/>
        <c:axId val="51540890"/>
      </c:scatterChart>
      <c:valAx>
        <c:axId val="65379089"/>
        <c:scaling>
          <c:orientation val="minMax"/>
          <c:max val="6"/>
        </c:scaling>
        <c:axPos val="b"/>
        <c:delete val="0"/>
        <c:numFmt formatCode="General" sourceLinked="1"/>
        <c:majorTickMark val="in"/>
        <c:minorTickMark val="none"/>
        <c:tickLblPos val="nextTo"/>
        <c:crossAx val="51540890"/>
        <c:crosses val="autoZero"/>
        <c:crossBetween val="midCat"/>
        <c:dispUnits/>
      </c:valAx>
      <c:valAx>
        <c:axId val="51540890"/>
        <c:scaling>
          <c:orientation val="minMax"/>
          <c:max val="6"/>
        </c:scaling>
        <c:axPos val="l"/>
        <c:delete val="0"/>
        <c:numFmt formatCode="General" sourceLinked="0"/>
        <c:majorTickMark val="in"/>
        <c:minorTickMark val="none"/>
        <c:tickLblPos val="nextTo"/>
        <c:crossAx val="65379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Св!$B$20:$L$20</c:f>
              <c:numCache/>
            </c:numRef>
          </c:xVal>
          <c:yVal>
            <c:numRef>
              <c:f>Св!$B$21:$L$21</c:f>
              <c:numCache/>
            </c:numRef>
          </c:yVal>
          <c:smooth val="0"/>
        </c:ser>
        <c:axId val="61214827"/>
        <c:axId val="14062532"/>
      </c:scatterChart>
      <c:valAx>
        <c:axId val="61214827"/>
        <c:scaling>
          <c:orientation val="minMax"/>
          <c:max val="6"/>
        </c:scaling>
        <c:axPos val="b"/>
        <c:delete val="0"/>
        <c:numFmt formatCode="General" sourceLinked="0"/>
        <c:majorTickMark val="in"/>
        <c:minorTickMark val="none"/>
        <c:tickLblPos val="nextTo"/>
        <c:crossAx val="14062532"/>
        <c:crosses val="autoZero"/>
        <c:crossBetween val="midCat"/>
        <c:dispUnits/>
      </c:valAx>
      <c:valAx>
        <c:axId val="14062532"/>
        <c:scaling>
          <c:orientation val="minMax"/>
          <c:max val="6"/>
        </c:scaling>
        <c:axPos val="l"/>
        <c:delete val="0"/>
        <c:numFmt formatCode="General" sourceLinked="0"/>
        <c:majorTickMark val="in"/>
        <c:minorTickMark val="none"/>
        <c:tickLblPos val="nextTo"/>
        <c:crossAx val="61214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ЩелрН!$B$7:$M$7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ЩелрН!$B$14:$N$14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ЩелрН!$B$15:$N$15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9453925"/>
        <c:axId val="65323278"/>
      </c:scatterChart>
      <c:valAx>
        <c:axId val="594539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5323278"/>
        <c:crosses val="autoZero"/>
        <c:crossBetween val="midCat"/>
        <c:dispUnits/>
        <c:majorUnit val="1"/>
      </c:valAx>
      <c:valAx>
        <c:axId val="65323278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crossAx val="59453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ЩелрН!$B$8:$M$8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ЩелрН!$B$14:$N$14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ЩелрН!$B$16:$N$16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1038591"/>
        <c:axId val="56694136"/>
      </c:scatterChart>
      <c:valAx>
        <c:axId val="510385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6694136"/>
        <c:crosses val="autoZero"/>
        <c:crossBetween val="midCat"/>
        <c:dispUnits/>
        <c:majorUnit val="1"/>
      </c:valAx>
      <c:valAx>
        <c:axId val="56694136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510385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ЩелрН!$B$48:$AA$48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ЩелрН!$B$49:$AA$49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ЩелрН!$B$52:$AA$52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ЩелрН!$B$53:$AA$53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ЩелрН!$B$56:$AA$56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ЩелрН!$B$57:$AA$57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40485177"/>
        <c:axId val="28822274"/>
      </c:scatterChart>
      <c:valAx>
        <c:axId val="404851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8822274"/>
        <c:crosses val="autoZero"/>
        <c:crossBetween val="midCat"/>
        <c:dispUnits/>
        <c:majorUnit val="1"/>
      </c:valAx>
      <c:valAx>
        <c:axId val="28822274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851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ЩелрН!$B$48:$AA$48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ЩелрН!$B$50:$AA$50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ЩелрН!$B$52:$AA$52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ЩелрН!$B$54:$AA$54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ЩелрН!$B$56:$AA$56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ЩелрН!$B$58:$AA$58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58073875"/>
        <c:axId val="52902828"/>
      </c:scatterChart>
      <c:valAx>
        <c:axId val="580738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2902828"/>
        <c:crosses val="autoZero"/>
        <c:crossBetween val="midCat"/>
        <c:dispUnits/>
        <c:majorUnit val="1"/>
      </c:valAx>
      <c:valAx>
        <c:axId val="52902828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580738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ЩелрН!$B$34:$AA$34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ЩелрН!$B$35:$AA$35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ЩелрН!$B$39:$AF$39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363405"/>
        <c:axId val="57270646"/>
      </c:scatterChart>
      <c:valAx>
        <c:axId val="63634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7270646"/>
        <c:crosses val="autoZero"/>
        <c:crossBetween val="midCat"/>
        <c:dispUnits/>
        <c:majorUnit val="2"/>
      </c:valAx>
      <c:valAx>
        <c:axId val="57270646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634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Св!$B$19:$L$19</c:f>
              <c:numCache/>
            </c:numRef>
          </c:xVal>
          <c:yVal>
            <c:numRef>
              <c:f>Св!$B$20:$L$20</c:f>
              <c:numCache/>
            </c:numRef>
          </c:yVal>
          <c:smooth val="0"/>
        </c:ser>
        <c:axId val="58942579"/>
        <c:axId val="60721164"/>
      </c:scatterChart>
      <c:valAx>
        <c:axId val="58942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21164"/>
        <c:crosses val="autoZero"/>
        <c:crossBetween val="midCat"/>
        <c:dispUnits/>
      </c:valAx>
      <c:valAx>
        <c:axId val="60721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425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ЩелрН!$B$34:$AA$34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ЩелрН!$B$36:$AA$36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ЩелрН!$B$40:$AF$40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ЩелрН!$C$44:$Q$44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5673767"/>
        <c:axId val="8410720"/>
      </c:scatterChart>
      <c:valAx>
        <c:axId val="456737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8410720"/>
        <c:crosses val="autoZero"/>
        <c:crossBetween val="midCat"/>
        <c:dispUnits/>
        <c:majorUnit val="2"/>
      </c:valAx>
      <c:valAx>
        <c:axId val="8410720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73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ЩелрН!$B$28:$AA$28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ЩелрН!$B$29:$AA$29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ЩелрН!$B$24:$AA$24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ЩелрН!$B$25:$AA$25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ЩелрН!$B$56:$AA$56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ЩелрН!$B$57:$AA$57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8587617"/>
        <c:axId val="10179690"/>
      </c:scatterChart>
      <c:valAx>
        <c:axId val="85876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0179690"/>
        <c:crosses val="autoZero"/>
        <c:crossBetween val="midCat"/>
        <c:dispUnits/>
        <c:majorUnit val="1"/>
      </c:valAx>
      <c:valAx>
        <c:axId val="10179690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876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ЩелрН!$B$28:$AA$28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ЩелрН!$B$24:$AA$24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ЩелрН!$B$26:$AA$26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ЩелрН!$B$56:$AA$56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ЩелрН!$B$58:$AA$58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24508347"/>
        <c:axId val="19248532"/>
      </c:scatterChart>
      <c:valAx>
        <c:axId val="245083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9248532"/>
        <c:crosses val="autoZero"/>
        <c:crossBetween val="midCat"/>
        <c:dispUnits/>
        <c:majorUnit val="1"/>
      </c:valAx>
      <c:valAx>
        <c:axId val="19248532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083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ЩелрН!$B$132:$N$132</c:f>
              <c:numCache/>
            </c:numRef>
          </c:xVal>
          <c:yVal>
            <c:numRef>
              <c:f>ЩелрН!$B$133:$N$133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ЩелрН!$B$135:$N$135</c:f>
              <c:numCache/>
            </c:numRef>
          </c:xVal>
          <c:yVal>
            <c:numRef>
              <c:f>ЩелрН!$B$136:$N$136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ЩелрН!$B$138:$N$138</c:f>
              <c:numCache/>
            </c:numRef>
          </c:xVal>
          <c:yVal>
            <c:numRef>
              <c:f>ЩелрН!$B$139:$N$139</c:f>
              <c:numCache/>
            </c:numRef>
          </c:yVal>
          <c:smooth val="1"/>
        </c:ser>
        <c:axId val="39019061"/>
        <c:axId val="15627230"/>
      </c:scatterChart>
      <c:valAx>
        <c:axId val="390190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5627230"/>
        <c:crosses val="autoZero"/>
        <c:crossBetween val="midCat"/>
        <c:dispUnits/>
        <c:majorUnit val="1"/>
      </c:valAx>
      <c:valAx>
        <c:axId val="15627230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390190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ЩелрН!$B$62:$V$62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ЩелрН!$B$63:$V$63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ЩелрН!$B$66:$P$66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ЩелрН!$B$67:$P$67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ЩелрН!$B$70:$R$70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ЩелрН!$B$71:$R$71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6427343"/>
        <c:axId val="57846088"/>
      </c:scatterChart>
      <c:valAx>
        <c:axId val="64273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7846088"/>
        <c:crosses val="autoZero"/>
        <c:crossBetween val="midCat"/>
        <c:dispUnits/>
        <c:majorUnit val="1"/>
      </c:valAx>
      <c:valAx>
        <c:axId val="57846088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7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ЩелрН!$B$62:$V$62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ЩелрН!$B$64:$V$64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ЩелрН!$B$66:$P$66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ЩелрН!$B$68:$P$68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ЩелрН!$B$70:$R$70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ЩелрН!$B$72:$R$72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50852745"/>
        <c:axId val="55021522"/>
      </c:scatterChart>
      <c:valAx>
        <c:axId val="508527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5021522"/>
        <c:crosses val="autoZero"/>
        <c:crossBetween val="midCat"/>
        <c:dispUnits/>
        <c:majorUnit val="1"/>
      </c:valAx>
      <c:valAx>
        <c:axId val="55021522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527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ЩелрН!$B$76:$V$76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ЩелрН!$B$84:$P$84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ЩелрН!$B$85:$P$85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ЩелрН!$B$80:$R$80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ЩелрН!$B$81:$R$81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25431651"/>
        <c:axId val="27558268"/>
      </c:scatterChart>
      <c:valAx>
        <c:axId val="254316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7558268"/>
        <c:crosses val="autoZero"/>
        <c:crossBetween val="midCat"/>
        <c:dispUnits/>
        <c:majorUnit val="1"/>
      </c:valAx>
      <c:valAx>
        <c:axId val="27558268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431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ЩелрН!$B$76:$V$76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ЩелрН!$B$84:$P$84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ЩелрН!$B$86:$P$86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ЩелрН!$B$80:$R$80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ЩелрН!$B$82:$R$82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46697821"/>
        <c:axId val="17627206"/>
      </c:scatterChart>
      <c:valAx>
        <c:axId val="466978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7627206"/>
        <c:crosses val="autoZero"/>
        <c:crossBetween val="midCat"/>
        <c:dispUnits/>
        <c:majorUnit val="1"/>
      </c:valAx>
      <c:valAx>
        <c:axId val="17627206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97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ЩелрН!$B$90:$V$90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ЩелрН!$B$91:$V$91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ЩелрН!$B$94:$R$94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ЩелрН!$B$95:$R$95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ЩелрН!$B$98:$R$98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ЩелрН!$B$99:$R$99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24427127"/>
        <c:axId val="18517552"/>
      </c:scatterChart>
      <c:valAx>
        <c:axId val="244271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8517552"/>
        <c:crosses val="autoZero"/>
        <c:crossBetween val="midCat"/>
        <c:dispUnits/>
        <c:majorUnit val="1"/>
      </c:valAx>
      <c:valAx>
        <c:axId val="18517552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271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ЩелрН!$B$90:$V$90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ЩелрН!$B$92:$V$92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ЩелрН!$B$94:$R$94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ЩелрН!$B$96:$R$96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ЩелрН!$B$98:$R$98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ЩелрН!$B$100:$R$100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32440241"/>
        <c:axId val="23526714"/>
      </c:scatterChart>
      <c:valAx>
        <c:axId val="324402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3526714"/>
        <c:crosses val="autoZero"/>
        <c:crossBetween val="midCat"/>
        <c:dispUnits/>
        <c:majorUnit val="1"/>
      </c:valAx>
      <c:valAx>
        <c:axId val="23526714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4402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Св!$B$14:$L$14</c:f>
              <c:numCache/>
            </c:numRef>
          </c:xVal>
          <c:yVal>
            <c:numRef>
              <c:f>Св!$B$19:$L$19</c:f>
              <c:numCache/>
            </c:numRef>
          </c:yVal>
          <c:smooth val="0"/>
        </c:ser>
        <c:axId val="9619565"/>
        <c:axId val="19467222"/>
      </c:scatterChart>
      <c:valAx>
        <c:axId val="9619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67222"/>
        <c:crosses val="autoZero"/>
        <c:crossBetween val="midCat"/>
        <c:dispUnits/>
      </c:valAx>
      <c:valAx>
        <c:axId val="19467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195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ЩелрН!$B$118:$AA$118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ЩелрН!$B$120:$AA$120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ЩелрН!$B$122:$Q$122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ЩелрН!$B$124:$Q$124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ЩелрН!$B$126:$S$126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ЩелрН!$B$128:$S$128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10413835"/>
        <c:axId val="26615652"/>
      </c:scatterChart>
      <c:valAx>
        <c:axId val="104138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6615652"/>
        <c:crosses val="autoZero"/>
        <c:crossBetween val="midCat"/>
        <c:dispUnits/>
        <c:majorUnit val="1"/>
      </c:valAx>
      <c:valAx>
        <c:axId val="26615652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104138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ЩелрН!$B$118:$AA$118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ЩелрН!$B$119:$AA$119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ЩелрН!$B$122:$Q$122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ЩелрН!$B$123:$Q$123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ЩелрН!$B$126:$S$126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ЩелрН!$B$127:$S$127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38214277"/>
        <c:axId val="8384174"/>
      </c:scatterChart>
      <c:valAx>
        <c:axId val="382142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8384174"/>
        <c:crosses val="autoZero"/>
        <c:crossBetween val="midCat"/>
        <c:dispUnits/>
        <c:majorUnit val="1"/>
      </c:valAx>
      <c:valAx>
        <c:axId val="8384174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crossAx val="382142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ЩелрН!$B$104:$AA$104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ЩелрН!$B$106:$AA$106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ЩелрН!$B$108:$Q$108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ЩелрН!$B$110:$Q$110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ЩелрН!$B$112:$S$112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ЩелрН!$B$114:$S$114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8348703"/>
        <c:axId val="8029464"/>
      </c:scatterChart>
      <c:valAx>
        <c:axId val="83487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8029464"/>
        <c:crosses val="autoZero"/>
        <c:crossBetween val="midCat"/>
        <c:dispUnits/>
        <c:majorUnit val="1"/>
      </c:valAx>
      <c:valAx>
        <c:axId val="8029464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83487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ЩелрН!$B$104:$AA$104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ЩелрН!$B$105:$AA$105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ЩелрН!$B$108:$Q$108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ЩелрН!$B$109:$Q$109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ЩелрН!$B$112:$S$112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ЩелрН!$B$113:$S$113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5156313"/>
        <c:axId val="46406818"/>
      </c:scatterChart>
      <c:valAx>
        <c:axId val="51563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6406818"/>
        <c:crosses val="autoZero"/>
        <c:crossBetween val="midCat"/>
        <c:dispUnits/>
        <c:majorUnit val="1"/>
      </c:valAx>
      <c:valAx>
        <c:axId val="46406818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crossAx val="51563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ЩелрН!$B$48:$AA$48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ЩелрН!$B$50:$AA$50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ЩелрН!$B$48:$AA$48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ЩелрН!$AQ$63:$AW$63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ЩелрН!$AQ$63:$AX$63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ЩелрН!$AQ$65:$AX$65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5008179"/>
        <c:axId val="855884"/>
      </c:scatterChart>
      <c:valAx>
        <c:axId val="15008179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855884"/>
        <c:crosses val="autoZero"/>
        <c:crossBetween val="midCat"/>
        <c:dispUnits/>
        <c:majorUnit val="1"/>
      </c:valAx>
      <c:valAx>
        <c:axId val="855884"/>
        <c:scaling>
          <c:orientation val="minMax"/>
          <c:max val="8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0081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ЩелрН!$B$132:$N$132</c:f>
              <c:numCache/>
            </c:numRef>
          </c:xVal>
          <c:yVal>
            <c:numRef>
              <c:f>ЩелрН!$B$133:$N$133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ЩелрН!$B$135:$N$135</c:f>
              <c:numCache/>
            </c:numRef>
          </c:xVal>
          <c:yVal>
            <c:numRef>
              <c:f>ЩелрН!$B$136:$N$136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ЩелрН!$B$138:$N$138</c:f>
              <c:numCache/>
            </c:numRef>
          </c:xVal>
          <c:yVal>
            <c:numRef>
              <c:f>ЩелрН!$B$139:$N$139</c:f>
              <c:numCache/>
            </c:numRef>
          </c:yVal>
          <c:smooth val="1"/>
        </c:ser>
        <c:axId val="7702957"/>
        <c:axId val="2217750"/>
      </c:scatterChart>
      <c:valAx>
        <c:axId val="7702957"/>
        <c:scaling>
          <c:orientation val="minMax"/>
          <c:max val="2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8100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50"/>
        <c:crosses val="autoZero"/>
        <c:crossBetween val="midCat"/>
        <c:dispUnits/>
        <c:majorUnit val="1"/>
      </c:valAx>
      <c:valAx>
        <c:axId val="2217750"/>
        <c:scaling>
          <c:orientation val="minMax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29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ЩелрН!$B$132:$N$132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ЩелрН!$B$133:$N$133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ЩелрН!$B$135:$N$135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ЩелрН!$B$136:$N$136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ЩелрН!$B$138:$N$138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ЩелрН!$B$139:$N$139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9959751"/>
        <c:axId val="45420032"/>
      </c:scatterChart>
      <c:valAx>
        <c:axId val="19959751"/>
        <c:scaling>
          <c:orientation val="minMax"/>
          <c:max val="2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8100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20032"/>
        <c:crosses val="autoZero"/>
        <c:crossBetween val="midCat"/>
        <c:dispUnits/>
        <c:majorUnit val="1"/>
      </c:valAx>
      <c:valAx>
        <c:axId val="45420032"/>
        <c:scaling>
          <c:orientation val="minMax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97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ЩелрН!$B$24:$AA$24</c:f>
              <c:numCache/>
            </c:numRef>
          </c:xVal>
          <c:yVal>
            <c:numRef>
              <c:f>ЩелрН!$B$26:$AA$26</c:f>
              <c:numCache/>
            </c:numRef>
          </c:yVal>
          <c:smooth val="1"/>
        </c:ser>
        <c:ser>
          <c:idx val="0"/>
          <c:order val="1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ЩелрН!$B$132:$N$132</c:f>
              <c:numCache/>
            </c:numRef>
          </c:xVal>
          <c:yVal>
            <c:numRef>
              <c:f>ЩелрН!$B$133:$N$133</c:f>
              <c:numCache/>
            </c:numRef>
          </c:yVal>
          <c:smooth val="1"/>
        </c:ser>
        <c:axId val="6127105"/>
        <c:axId val="55143946"/>
      </c:scatterChart>
      <c:valAx>
        <c:axId val="6127105"/>
        <c:scaling>
          <c:orientation val="minMax"/>
          <c:max val="5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8100">
            <a:solidFill>
              <a:srgbClr val="0000FF"/>
            </a:solidFill>
          </a:ln>
        </c:spPr>
        <c:crossAx val="55143946"/>
        <c:crosses val="autoZero"/>
        <c:crossBetween val="midCat"/>
        <c:dispUnits/>
        <c:majorUnit val="1"/>
      </c:valAx>
      <c:valAx>
        <c:axId val="55143946"/>
        <c:scaling>
          <c:orientation val="minMax"/>
          <c:max val="7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FF"/>
            </a:solidFill>
          </a:ln>
        </c:spPr>
        <c:crossAx val="61271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1" i="0" u="none" baseline="0">
          <a:solidFill>
            <a:srgbClr val="0000FF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24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рН!$E$2:$E$539</c:f>
              <c:numCache>
                <c:ptCount val="5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</c:numCache>
            </c:numRef>
          </c:xVal>
          <c:yVal>
            <c:numRef>
              <c:f>рН!$F$2:$F$539</c:f>
              <c:numCache>
                <c:ptCount val="5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рН!$M$7:$M$8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рН!$N$7:$N$8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533467"/>
        <c:axId val="37474612"/>
      </c:scatterChart>
      <c:valAx>
        <c:axId val="26533467"/>
        <c:scaling>
          <c:orientation val="minMax"/>
          <c:min val="3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474612"/>
        <c:crosses val="autoZero"/>
        <c:crossBetween val="midCat"/>
        <c:dispUnits/>
        <c:majorUnit val="1"/>
      </c:valAx>
      <c:valAx>
        <c:axId val="37474612"/>
        <c:scaling>
          <c:orientation val="minMax"/>
          <c:min val="1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533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38"/>
          <c:h val="1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рН!$A$200:$A$538</c:f>
              <c:numCache>
                <c:ptCount val="3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</c:numCache>
            </c:numRef>
          </c:xVal>
          <c:yVal>
            <c:numRef>
              <c:f>рН!$B$200:$B$538</c:f>
              <c:numCache>
                <c:ptCount val="3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рН!$A$100:$A$538</c:f>
              <c:numCache>
                <c:ptCount val="4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</c:numCache>
            </c:numRef>
          </c:xVal>
          <c:yVal>
            <c:numRef>
              <c:f>рН!$B$100:$B$538</c:f>
              <c:numCache>
                <c:ptCount val="4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рН!$A$2:$A$538</c:f>
              <c:numCache>
                <c:ptCount val="5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</c:numCache>
            </c:numRef>
          </c:xVal>
          <c:yVal>
            <c:numRef>
              <c:f>рН!$B$2:$B$538</c:f>
              <c:numCache>
                <c:ptCount val="5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</c:numCache>
            </c:numRef>
          </c:yVal>
          <c:smooth val="0"/>
        </c:ser>
        <c:axId val="1727189"/>
        <c:axId val="15544702"/>
      </c:scatterChart>
      <c:valAx>
        <c:axId val="1727189"/>
        <c:scaling>
          <c:orientation val="minMax"/>
          <c:min val="1.5"/>
        </c:scaling>
        <c:axPos val="b"/>
        <c:delete val="0"/>
        <c:numFmt formatCode="General" sourceLinked="1"/>
        <c:majorTickMark val="in"/>
        <c:minorTickMark val="none"/>
        <c:tickLblPos val="nextTo"/>
        <c:crossAx val="15544702"/>
        <c:crosses val="autoZero"/>
        <c:crossBetween val="midCat"/>
        <c:dispUnits/>
      </c:valAx>
      <c:valAx>
        <c:axId val="15544702"/>
        <c:scaling>
          <c:orientation val="minMax"/>
          <c:min val="2.5"/>
        </c:scaling>
        <c:axPos val="l"/>
        <c:delete val="0"/>
        <c:numFmt formatCode="General" sourceLinked="1"/>
        <c:majorTickMark val="in"/>
        <c:minorTickMark val="none"/>
        <c:tickLblPos val="nextTo"/>
        <c:crossAx val="1727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Св!$B$23:$L$23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0987271"/>
        <c:axId val="33341120"/>
      </c:scatterChart>
      <c:valAx>
        <c:axId val="40987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41120"/>
        <c:crosses val="autoZero"/>
        <c:crossBetween val="midCat"/>
        <c:dispUnits/>
      </c:valAx>
      <c:valAx>
        <c:axId val="33341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87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385"/>
          <c:h val="1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рН!$A$200:$A$538</c:f>
              <c:numCache>
                <c:ptCount val="3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</c:numCache>
            </c:numRef>
          </c:xVal>
          <c:yVal>
            <c:numRef>
              <c:f>рН!$B$200:$B$538</c:f>
              <c:numCache>
                <c:ptCount val="3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</c:numCache>
            </c:numRef>
          </c:yVal>
          <c:smooth val="0"/>
        </c:ser>
        <c:axId val="5684591"/>
        <c:axId val="51161320"/>
      </c:scatterChart>
      <c:valAx>
        <c:axId val="5684591"/>
        <c:scaling>
          <c:orientation val="minMax"/>
          <c:min val="2.5"/>
        </c:scaling>
        <c:axPos val="b"/>
        <c:delete val="0"/>
        <c:numFmt formatCode="General" sourceLinked="1"/>
        <c:majorTickMark val="in"/>
        <c:minorTickMark val="none"/>
        <c:tickLblPos val="nextTo"/>
        <c:crossAx val="51161320"/>
        <c:crosses val="autoZero"/>
        <c:crossBetween val="midCat"/>
        <c:dispUnits/>
      </c:valAx>
      <c:valAx>
        <c:axId val="51161320"/>
        <c:scaling>
          <c:orientation val="minMax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56845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ЩелКонд!$B$21:$Z$21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798697"/>
        <c:axId val="50426226"/>
      </c:scatterChart>
      <c:valAx>
        <c:axId val="5779869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0426226"/>
        <c:crosses val="autoZero"/>
        <c:crossBetween val="midCat"/>
        <c:dispUnits/>
        <c:majorUnit val="1"/>
      </c:valAx>
      <c:valAx>
        <c:axId val="50426226"/>
        <c:scaling>
          <c:orientation val="minMax"/>
          <c:min val="1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986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ЩелКонд!$B$46:$Z$46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ЩелКонд!$B$47:$Z$47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ЩелКонд!$C$49:$J$49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ЩелКонд!$C$50:$J$50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182851"/>
        <c:axId val="57992476"/>
      </c:scatterChart>
      <c:valAx>
        <c:axId val="51182851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7992476"/>
        <c:crosses val="autoZero"/>
        <c:crossBetween val="midCat"/>
        <c:dispUnits/>
        <c:majorUnit val="1"/>
      </c:valAx>
      <c:valAx>
        <c:axId val="57992476"/>
        <c:scaling>
          <c:orientation val="minMax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828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ЩелКонд!$B$35:$Z$35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ЩелКонд!$B$36:$Z$36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2170237"/>
        <c:axId val="66878950"/>
      </c:scatterChart>
      <c:valAx>
        <c:axId val="52170237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6878950"/>
        <c:crosses val="autoZero"/>
        <c:crossBetween val="midCat"/>
        <c:dispUnits/>
        <c:majorUnit val="1"/>
      </c:valAx>
      <c:valAx>
        <c:axId val="66878950"/>
        <c:scaling>
          <c:orientation val="minMax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70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ЩелКонд!$B$10:$L$10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ЩелКонд!$B$9:$L$9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ЩелКонд!$B$11:$L$11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5039639"/>
        <c:axId val="48485840"/>
      </c:scatterChart>
      <c:valAx>
        <c:axId val="65039639"/>
        <c:scaling>
          <c:orientation val="minMax"/>
          <c:max val="5"/>
        </c:scaling>
        <c:axPos val="b"/>
        <c:delete val="0"/>
        <c:numFmt formatCode="General" sourceLinked="1"/>
        <c:majorTickMark val="cross"/>
        <c:minorTickMark val="out"/>
        <c:tickLblPos val="nextTo"/>
        <c:crossAx val="48485840"/>
        <c:crosses val="autoZero"/>
        <c:crossBetween val="midCat"/>
        <c:dispUnits/>
        <c:majorUnit val="1"/>
      </c:valAx>
      <c:valAx>
        <c:axId val="48485840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5039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ЩелКонд!$B$15:$L$15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ЩелКонд!$B$14:$L$14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ЩелКонд!$B$16:$L$16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ЩелКонд!$B$14:$L$14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ЩелКонд!$B$17:$L$17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3719377"/>
        <c:axId val="35038938"/>
      </c:scatterChart>
      <c:valAx>
        <c:axId val="3371937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35038938"/>
        <c:crosses val="autoZero"/>
        <c:crossBetween val="midCat"/>
        <c:dispUnits/>
        <c:majorUnit val="1"/>
      </c:valAx>
      <c:valAx>
        <c:axId val="3503893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37193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ЩелКонд!$B$25:$Y$25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ЩелКонд!$B$26:$Y$26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46914987"/>
        <c:axId val="19581700"/>
      </c:scatterChart>
      <c:valAx>
        <c:axId val="4691498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9581700"/>
        <c:crosses val="autoZero"/>
        <c:crossBetween val="midCat"/>
        <c:dispUnits/>
        <c:majorUnit val="1"/>
      </c:valAx>
      <c:valAx>
        <c:axId val="19581700"/>
        <c:scaling>
          <c:orientation val="minMax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crossAx val="46914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9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ЩелКонд!$B$30:$I$30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ЩелКонд!$B$31:$I$31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2017573"/>
        <c:axId val="42613838"/>
      </c:scatterChart>
      <c:valAx>
        <c:axId val="4201757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2613838"/>
        <c:crosses val="autoZero"/>
        <c:crossBetween val="midCat"/>
        <c:dispUnits/>
        <c:majorUnit val="1"/>
      </c:valAx>
      <c:valAx>
        <c:axId val="42613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175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59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ЩелКонд!$C$40:$V$40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ЩелКонд!$C$41:$V$41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ЩелКонд!$C$40:$V$40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ЩелКонд!$C$42:$V$42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7980223"/>
        <c:axId val="29168824"/>
      </c:scatterChart>
      <c:valAx>
        <c:axId val="4798022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9168824"/>
        <c:crosses val="autoZero"/>
        <c:crossBetween val="midCat"/>
        <c:dispUnits/>
      </c:valAx>
      <c:valAx>
        <c:axId val="29168824"/>
        <c:scaling>
          <c:orientation val="minMax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crossAx val="479802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ЩелКонд!$B$20:$Z$20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ЩелКонд!$B$21:$Z$21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1192825"/>
        <c:axId val="13864514"/>
      </c:scatterChart>
      <c:valAx>
        <c:axId val="6119282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3864514"/>
        <c:crosses val="autoZero"/>
        <c:crossBetween val="midCat"/>
        <c:dispUnits/>
        <c:majorUnit val="1"/>
      </c:valAx>
      <c:valAx>
        <c:axId val="13864514"/>
        <c:scaling>
          <c:orientation val="minMax"/>
          <c:min val="1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611928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Св!$B$19:$L$19</c:f>
              <c:numCache/>
            </c:numRef>
          </c:xVal>
          <c:yVal>
            <c:numRef>
              <c:f>Св!$B$23:$L$23</c:f>
              <c:numCache/>
            </c:numRef>
          </c:yVal>
          <c:smooth val="0"/>
        </c:ser>
        <c:axId val="31634625"/>
        <c:axId val="16276170"/>
      </c:scatterChart>
      <c:valAx>
        <c:axId val="3163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76170"/>
        <c:crosses val="autoZero"/>
        <c:crossBetween val="midCat"/>
        <c:dispUnits/>
      </c:valAx>
      <c:valAx>
        <c:axId val="16276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346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ХлорКонд!$B$5:$AF$5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ХлорКонд!$B$6:$AF$6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ХлорКонд!$B$5:$AF$5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ХлорКонд!$B$7:$Q$7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ХлорКонд!$B$5:$AF$5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ХлорКонд!$B$8:$U$8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7671763"/>
        <c:axId val="49283820"/>
      </c:scatterChart>
      <c:valAx>
        <c:axId val="5767176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9283820"/>
        <c:crosses val="autoZero"/>
        <c:crossBetween val="midCat"/>
        <c:dispUnits/>
      </c:valAx>
      <c:valAx>
        <c:axId val="49283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717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ХлорКонд!$B$12:$V$12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ХлорКонд!$B$13:$V$13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ХлорКонд!$B$12:$V$12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ХлорКонд!$B$14:$V$14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ХлорКонд!$B$12:$V$12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ХлорКонд!$B$15:$V$15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0901197"/>
        <c:axId val="32566454"/>
      </c:scatterChart>
      <c:val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crossAx val="32566454"/>
        <c:crosses val="autoZero"/>
        <c:crossBetween val="midCat"/>
        <c:dispUnits/>
      </c:valAx>
      <c:valAx>
        <c:axId val="3256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011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CaПотТитр!$B$8:$AA$8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CaПотТитр!$B$9:$AA$9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CaПотТитр!$B$10:$AA$10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CaПотТитр!$B$11:$AA$11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24662631"/>
        <c:axId val="20637088"/>
      </c:scatterChart>
      <c:valAx>
        <c:axId val="246626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0637088"/>
        <c:crosses val="autoZero"/>
        <c:crossBetween val="midCat"/>
        <c:dispUnits/>
      </c:valAx>
      <c:valAx>
        <c:axId val="20637088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crossAx val="246626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CaПотТитр!$B$16:$AA$16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CaПотТитр!$B$17:$AA$17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CaПотТитр!$B$18:$AA$18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CaПотТитр!$B$19:$AA$19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51516065"/>
        <c:axId val="60991402"/>
      </c:scatterChart>
      <c:valAx>
        <c:axId val="515160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0991402"/>
        <c:crosses val="autoZero"/>
        <c:crossBetween val="midCat"/>
        <c:dispUnits/>
      </c:valAx>
      <c:valAx>
        <c:axId val="60991402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crossAx val="51516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CaПотТитр!$B$37:$W$37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CaПотТитр!$B$38:$W$38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CaПотТитр!$B$37:$W$37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CaПотТитр!$B$39:$W$39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CaПотТитр!$B$37:$W$37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CaПотТитр!$B$40:$W$40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12051707"/>
        <c:axId val="41356500"/>
      </c:scatterChart>
      <c:valAx>
        <c:axId val="12051707"/>
        <c:scaling>
          <c:orientation val="minMax"/>
          <c:max val="3.6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1356500"/>
        <c:crosses val="autoZero"/>
        <c:crossBetween val="midCat"/>
        <c:dispUnits/>
      </c:valAx>
      <c:valAx>
        <c:axId val="41356500"/>
        <c:scaling>
          <c:orientation val="minMax"/>
          <c:min val="280"/>
        </c:scaling>
        <c:axPos val="l"/>
        <c:delete val="0"/>
        <c:numFmt formatCode="General" sourceLinked="1"/>
        <c:majorTickMark val="in"/>
        <c:minorTickMark val="none"/>
        <c:tickLblPos val="nextTo"/>
        <c:crossAx val="12051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CaПотТитр!$B$44:$W$44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CaПотТитр!$B$45:$W$45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CaПотТитр!$B$44:$W$44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CaПотТитр!$B$46:$W$46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6664181"/>
        <c:axId val="61542174"/>
      </c:scatterChart>
      <c:valAx>
        <c:axId val="36664181"/>
        <c:scaling>
          <c:orientation val="minMax"/>
          <c:max val="3.6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1542174"/>
        <c:crosses val="autoZero"/>
        <c:crossBetween val="midCat"/>
        <c:dispUnits/>
      </c:valAx>
      <c:valAx>
        <c:axId val="61542174"/>
        <c:scaling>
          <c:orientation val="minMax"/>
          <c:min val="280"/>
        </c:scaling>
        <c:axPos val="l"/>
        <c:delete val="0"/>
        <c:numFmt formatCode="General" sourceLinked="1"/>
        <c:majorTickMark val="in"/>
        <c:minorTickMark val="none"/>
        <c:tickLblPos val="nextTo"/>
        <c:crossAx val="36664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CaПотТитр!$B$31:$AA$31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CaПотТитр!$B$32:$AA$32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CaПотТитр!$B$33:$AA$33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17008655"/>
        <c:axId val="18860168"/>
      </c:scatterChart>
      <c:valAx>
        <c:axId val="170086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8860168"/>
        <c:crosses val="autoZero"/>
        <c:crossBetween val="midCat"/>
        <c:dispUnits/>
      </c:valAx>
      <c:valAx>
        <c:axId val="18860168"/>
        <c:scaling>
          <c:orientation val="minMax"/>
          <c:min val="280"/>
        </c:scaling>
        <c:axPos val="l"/>
        <c:delete val="0"/>
        <c:numFmt formatCode="General" sourceLinked="1"/>
        <c:majorTickMark val="in"/>
        <c:minorTickMark val="none"/>
        <c:tickLblPos val="nextTo"/>
        <c:crossAx val="170086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CaПотТитр!$B$24:$Z$24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CaПотТитр!$B$25:$Z$25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CaПотТитр!$B$26:$Z$26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5523785"/>
        <c:axId val="51278610"/>
      </c:scatterChart>
      <c:valAx>
        <c:axId val="355237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1278610"/>
        <c:crosses val="autoZero"/>
        <c:crossBetween val="midCat"/>
        <c:dispUnits/>
        <c:majorUnit val="2"/>
        <c:minorUnit val="0.5"/>
      </c:valAx>
      <c:valAx>
        <c:axId val="51278610"/>
        <c:scaling>
          <c:orientation val="minMax"/>
          <c:max val="380"/>
          <c:min val="2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237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CaПотТитр!$B$50:$AA$50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CaПотТитр!$B$51:$AA$51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CaПотТитр!$B$50:$AA$50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CaПотТитр!$B$52:$AA$52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58854307"/>
        <c:axId val="59926716"/>
      </c:scatterChart>
      <c:valAx>
        <c:axId val="58854307"/>
        <c:scaling>
          <c:orientation val="minMax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9926716"/>
        <c:crosses val="autoZero"/>
        <c:crossBetween val="midCat"/>
        <c:dispUnits/>
      </c:valAx>
      <c:valAx>
        <c:axId val="59926716"/>
        <c:scaling>
          <c:orientation val="minMax"/>
          <c:min val="260"/>
        </c:scaling>
        <c:axPos val="l"/>
        <c:delete val="0"/>
        <c:numFmt formatCode="General" sourceLinked="1"/>
        <c:majorTickMark val="in"/>
        <c:minorTickMark val="none"/>
        <c:tickLblPos val="nextTo"/>
        <c:crossAx val="588543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CaПотТитр!$B$16:$AA$16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CaПотТитр!$B$17:$AA$17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CaПотТитр!$B$18:$AA$18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CaПотТитр!$B$7:$AA$7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CaПотТитр!$B$19:$AA$19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2469533"/>
        <c:axId val="22225798"/>
      </c:scatterChart>
      <c:valAx>
        <c:axId val="246953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2225798"/>
        <c:crosses val="autoZero"/>
        <c:crossBetween val="midCat"/>
        <c:dispUnits/>
      </c:valAx>
      <c:valAx>
        <c:axId val="22225798"/>
        <c:scaling>
          <c:orientation val="minMax"/>
          <c:max val="420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crossAx val="2469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Св!$B$22:$L$22</c:f>
              <c:numCache/>
            </c:numRef>
          </c:xVal>
          <c:yVal>
            <c:numRef>
              <c:f>Св!$B$23:$L$23</c:f>
              <c:numCache/>
            </c:numRef>
          </c:yVal>
          <c:smooth val="0"/>
        </c:ser>
        <c:axId val="12267803"/>
        <c:axId val="43301364"/>
      </c:scatterChart>
      <c:valAx>
        <c:axId val="1226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01364"/>
        <c:crosses val="autoZero"/>
        <c:crossBetween val="midCat"/>
        <c:dispUnits/>
      </c:valAx>
      <c:valAx>
        <c:axId val="43301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678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Caконд!$B$13:$L$13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Caконд!$B$14:$L$14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5814455"/>
        <c:axId val="55459184"/>
      </c:scatterChart>
      <c:valAx>
        <c:axId val="658144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55459184"/>
        <c:crosses val="autoZero"/>
        <c:crossBetween val="midCat"/>
        <c:dispUnits/>
      </c:valAx>
      <c:valAx>
        <c:axId val="5545918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58144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NO3доб!$B$22:$G$22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08890"/>
        <c:crosses val="autoZero"/>
        <c:crossBetween val="midCat"/>
        <c:dispUnits/>
      </c:valAx>
      <c:valAx>
        <c:axId val="63008890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crossAx val="29370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NO3доб!$B$41:$H$41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NO3доб!$B$42:$H$42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NO3доб!$B$41:$H$41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NO3доб!$B$49:$H$49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  <c:max val="0.5"/>
        </c:scaling>
        <c:axPos val="b"/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crossBetween val="midCat"/>
        <c:dispUnits/>
        <c:majorUnit val="0.1"/>
      </c:valAx>
      <c:valAx>
        <c:axId val="3446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090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NO3доб!$B$35:$G$35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017925"/>
        <c:axId val="10725870"/>
      </c:scatterChart>
      <c:val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25870"/>
        <c:crosses val="autoZero"/>
        <c:crossBetween val="midCat"/>
        <c:dispUnits/>
      </c:valAx>
      <c:valAx>
        <c:axId val="10725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17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NO3доб!$B$63:$G$63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423967"/>
        <c:axId val="63489112"/>
      </c:scatterChart>
      <c:val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89112"/>
        <c:crosses val="autoZero"/>
        <c:crossBetween val="midCat"/>
        <c:dispUnits/>
      </c:valAx>
      <c:valAx>
        <c:axId val="63489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239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NO3доб!$B$70:$G$70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NO3доб!$B$77:$G$77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531097"/>
        <c:axId val="42344418"/>
      </c:scatterChart>
      <c:valAx>
        <c:axId val="3453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44418"/>
        <c:crosses val="autoZero"/>
        <c:crossBetween val="midCat"/>
        <c:dispUnits/>
      </c:valAx>
      <c:valAx>
        <c:axId val="42344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310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NO3доб!$B$84:$G$84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NO3доб!$B$91:$G$91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555443"/>
        <c:axId val="7345804"/>
      </c:scatterChart>
      <c:val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45804"/>
        <c:crosses val="autoZero"/>
        <c:crossBetween val="midCat"/>
        <c:dispUnits/>
      </c:valAx>
      <c:valAx>
        <c:axId val="734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554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NO3доб!$B$97:$G$97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NO3доб!$B$98:$G$98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NO3доб!$B$97:$G$97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NO3доб!$B$105:$G$105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112237"/>
        <c:axId val="58139222"/>
      </c:scatterChart>
      <c:valAx>
        <c:axId val="66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39222"/>
        <c:crosses val="autoZero"/>
        <c:crossBetween val="midCat"/>
        <c:dispUnits/>
      </c:valAx>
      <c:valAx>
        <c:axId val="58139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12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NO3доб!$B$110:$H$110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NO3доб!$B$111:$H$111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3490951"/>
        <c:axId val="11656512"/>
      </c:scatterChart>
      <c:valAx>
        <c:axId val="53490951"/>
        <c:scaling>
          <c:orientation val="minMax"/>
          <c:max val="4.5"/>
          <c:min val="3"/>
        </c:scaling>
        <c:axPos val="b"/>
        <c:delete val="0"/>
        <c:numFmt formatCode="General" sourceLinked="1"/>
        <c:majorTickMark val="in"/>
        <c:minorTickMark val="none"/>
        <c:tickLblPos val="nextTo"/>
        <c:crossAx val="11656512"/>
        <c:crosses val="autoZero"/>
        <c:crossBetween val="midCat"/>
        <c:dispUnits/>
      </c:valAx>
      <c:valAx>
        <c:axId val="11656512"/>
        <c:scaling>
          <c:orientation val="minMax"/>
          <c:max val="5.5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crossAx val="534909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7799745"/>
        <c:axId val="4653386"/>
      </c:scatterChart>
      <c:valAx>
        <c:axId val="3779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3386"/>
        <c:crosses val="autoZero"/>
        <c:crossBetween val="midCat"/>
        <c:dispUnits/>
      </c:valAx>
      <c:valAx>
        <c:axId val="4653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997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Св!$B$28:$L$28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Св!$B$29:$L$29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167957"/>
        <c:axId val="17749566"/>
      </c:scatterChart>
      <c:valAx>
        <c:axId val="5416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49566"/>
        <c:crosses val="autoZero"/>
        <c:crossBetween val="midCat"/>
        <c:dispUnits/>
      </c:valAx>
      <c:valAx>
        <c:axId val="17749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679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1880475"/>
        <c:axId val="41379956"/>
      </c:scatterChart>
      <c:val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79956"/>
        <c:crosses val="autoZero"/>
        <c:crossBetween val="midCat"/>
        <c:dispUnits/>
      </c:valAx>
      <c:valAx>
        <c:axId val="413799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8804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6875285"/>
        <c:axId val="63442110"/>
      </c:scatterChart>
      <c:val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42110"/>
        <c:crosses val="autoZero"/>
        <c:crossBetween val="midCat"/>
        <c:dispUnits/>
      </c:valAx>
      <c:valAx>
        <c:axId val="63442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752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4108079"/>
        <c:axId val="38537256"/>
      </c:scatterChart>
      <c:valAx>
        <c:axId val="341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37256"/>
        <c:crosses val="autoZero"/>
        <c:crossBetween val="midCat"/>
        <c:dispUnits/>
      </c:valAx>
      <c:valAx>
        <c:axId val="38537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080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1290985"/>
        <c:axId val="34510002"/>
      </c:scatterChart>
      <c:val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10002"/>
        <c:crosses val="autoZero"/>
        <c:crossBetween val="midCat"/>
        <c:dispUnits/>
      </c:valAx>
      <c:valAx>
        <c:axId val="34510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90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2154563"/>
        <c:axId val="43846748"/>
      </c:scatterChart>
      <c:val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46748"/>
        <c:crosses val="autoZero"/>
        <c:crossBetween val="midCat"/>
        <c:dispUnits/>
      </c:valAx>
      <c:valAx>
        <c:axId val="438467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545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NO3доб!$B$114:$H$114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9076413"/>
        <c:axId val="61925670"/>
      </c:scatterChart>
      <c:valAx>
        <c:axId val="5907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25670"/>
        <c:crosses val="autoZero"/>
        <c:crossBetween val="midCat"/>
        <c:dispUnits/>
      </c:valAx>
      <c:valAx>
        <c:axId val="61925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764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NO3доб!$B$17:$G$17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NO3доб!$W$16:$X$16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NO3доб!$W$17:$X$17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NO3доб!$B$30:$G$30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NO3доб!$B$31:$G$31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NO3доб!$B$44:$H$44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NO3доб!$B$45:$H$45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NO3доб!$B$58:$G$58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NO3доб!$B$59:$G$59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NO3доб!$B$72:$G$72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NO3доб!$B$73:$G$73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460119"/>
        <c:axId val="49923344"/>
      </c:scatterChart>
      <c:valAx>
        <c:axId val="20460119"/>
        <c:scaling>
          <c:orientation val="minMax"/>
          <c:max val="1.2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23344"/>
        <c:crosses val="autoZero"/>
        <c:crossBetween val="midCat"/>
        <c:dispUnits/>
        <c:majorUnit val="0.2"/>
      </c:valAx>
      <c:valAx>
        <c:axId val="4992334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4601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Fдоб!$B$15:$F$15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Fдоб!$B$22:$F$22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6656913"/>
        <c:axId val="17259034"/>
      </c:scatterChart>
      <c:valAx>
        <c:axId val="46656913"/>
        <c:scaling>
          <c:orientation val="minMax"/>
          <c:max val="0.0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7259034"/>
        <c:crosses val="autoZero"/>
        <c:crossBetween val="midCat"/>
        <c:dispUnits/>
      </c:valAx>
      <c:valAx>
        <c:axId val="17259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569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Fдоб!$B$41:$I$41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Fдоб!$B$42:$I$42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Fдоб!$B$41:$I$41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Fдоб!$B$49:$I$49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1113579"/>
        <c:axId val="55804484"/>
      </c:scatterChart>
      <c:valAx>
        <c:axId val="211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04484"/>
        <c:crosses val="autoZero"/>
        <c:crossBetween val="midCat"/>
        <c:dispUnits/>
      </c:valAx>
      <c:valAx>
        <c:axId val="55804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135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Fдоб!$B$35:$G$35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478309"/>
        <c:axId val="23869326"/>
      </c:scatterChart>
      <c:valAx>
        <c:axId val="3247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69326"/>
        <c:crosses val="autoZero"/>
        <c:crossBetween val="midCat"/>
        <c:dispUnits/>
      </c:valAx>
      <c:valAx>
        <c:axId val="23869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78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Св!$B$46:$L$46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5528367"/>
        <c:axId val="28428712"/>
      </c:scatterChart>
      <c:valAx>
        <c:axId val="2552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28712"/>
        <c:crosses val="autoZero"/>
        <c:crossBetween val="midCat"/>
        <c:dispUnits/>
      </c:valAx>
      <c:valAx>
        <c:axId val="28428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283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Fдоб!$B$63:$G$63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67224"/>
        <c:crosses val="autoZero"/>
        <c:crossBetween val="midCat"/>
        <c:dispUnits/>
      </c:valAx>
      <c:valAx>
        <c:axId val="54367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97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Fдоб!$B$70:$G$70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Fдоб!$B$77:$G$77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542969"/>
        <c:axId val="41668994"/>
      </c:scatterChart>
      <c:valAx>
        <c:axId val="1954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68994"/>
        <c:crosses val="autoZero"/>
        <c:crossBetween val="midCat"/>
        <c:dispUnits/>
      </c:valAx>
      <c:valAx>
        <c:axId val="41668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42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Fдоб!$B$84:$G$84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Fдоб!$B$91:$G$91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45324"/>
        <c:crosses val="autoZero"/>
        <c:crossBetween val="midCat"/>
        <c:dispUnits/>
      </c:valAx>
      <c:valAx>
        <c:axId val="19745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76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Fдоб!$B$110:$H$110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Fдоб!$B$111:$H$111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3490189"/>
        <c:axId val="55867382"/>
      </c:scatterChart>
      <c:valAx>
        <c:axId val="4349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67382"/>
        <c:crosses val="autoZero"/>
        <c:crossBetween val="midCat"/>
        <c:dispUnits/>
      </c:valAx>
      <c:valAx>
        <c:axId val="55867382"/>
        <c:scaling>
          <c:orientation val="minMax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crossAx val="43490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3044391"/>
        <c:axId val="28964064"/>
      </c:scatterChart>
      <c:valAx>
        <c:axId val="3304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64064"/>
        <c:crosses val="autoZero"/>
        <c:crossBetween val="midCat"/>
        <c:dispUnits/>
      </c:valAx>
      <c:valAx>
        <c:axId val="28964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443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9349985"/>
        <c:axId val="64387818"/>
      </c:scatterChart>
      <c:valAx>
        <c:axId val="593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87818"/>
        <c:crosses val="autoZero"/>
        <c:crossBetween val="midCat"/>
        <c:dispUnits/>
      </c:valAx>
      <c:valAx>
        <c:axId val="64387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49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2619451"/>
        <c:axId val="48030740"/>
      </c:scatterChart>
      <c:valAx>
        <c:axId val="4261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30740"/>
        <c:crosses val="autoZero"/>
        <c:crossBetween val="midCat"/>
        <c:dispUnits/>
      </c:valAx>
      <c:valAx>
        <c:axId val="48030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19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9623477"/>
        <c:axId val="65284702"/>
      </c:scatterChart>
      <c:valAx>
        <c:axId val="2962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84702"/>
        <c:crosses val="autoZero"/>
        <c:crossBetween val="midCat"/>
        <c:dispUnits/>
      </c:valAx>
      <c:valAx>
        <c:axId val="65284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23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0691407"/>
        <c:axId val="53569480"/>
      </c:scatterChart>
      <c:valAx>
        <c:axId val="5069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69480"/>
        <c:crosses val="autoZero"/>
        <c:crossBetween val="midCat"/>
        <c:dispUnits/>
      </c:valAx>
      <c:valAx>
        <c:axId val="53569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91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2363273"/>
        <c:axId val="44160594"/>
      </c:scatterChart>
      <c:valAx>
        <c:axId val="12363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60594"/>
        <c:crosses val="autoZero"/>
        <c:crossBetween val="midCat"/>
        <c:dispUnits/>
      </c:valAx>
      <c:valAx>
        <c:axId val="44160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632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Св!$B$15:$L$15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Св!$B$19:$L$19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531817"/>
        <c:axId val="21024306"/>
      </c:scatterChart>
      <c:valAx>
        <c:axId val="54531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24306"/>
        <c:crosses val="autoZero"/>
        <c:crossBetween val="midCat"/>
        <c:dispUnits/>
      </c:valAx>
      <c:valAx>
        <c:axId val="21024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318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1901027"/>
        <c:axId val="20238332"/>
      </c:scatterChart>
      <c:valAx>
        <c:axId val="619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38332"/>
        <c:crosses val="autoZero"/>
        <c:crossBetween val="midCat"/>
        <c:dispUnits/>
      </c:valAx>
      <c:valAx>
        <c:axId val="20238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01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Fдоб!$C$41:$I$41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Fдоб!$C$42:$I$42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Fдоб!$C$41:$I$41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Fдоб!$C$49:$I$49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7927261"/>
        <c:axId val="28692166"/>
      </c:scatterChart>
      <c:valAx>
        <c:axId val="47927261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cross"/>
        <c:minorTickMark val="out"/>
        <c:tickLblPos val="nextTo"/>
        <c:crossAx val="28692166"/>
        <c:crosses val="autoZero"/>
        <c:crossBetween val="midCat"/>
        <c:dispUnits/>
        <c:majorUnit val="10"/>
      </c:valAx>
      <c:valAx>
        <c:axId val="28692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27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Fдоб!$B$17:$F$17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Fдоб!$B$18:$F$18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Fдоб!$U$14:$V$14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Fдоб!$U$15:$V$15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Fдоб!$B$30:$F$30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Fдоб!$B$31:$F$31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Fдоб!$B$44:$G$44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Fдоб!$B$45:$G$45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Fдоб!$B$58:$F$58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Fдоб!$B$59:$F$59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6902903"/>
        <c:axId val="42364080"/>
      </c:scatterChart>
      <c:valAx>
        <c:axId val="569029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42364080"/>
        <c:crosses val="autoZero"/>
        <c:crossBetween val="midCat"/>
        <c:dispUnits/>
      </c:valAx>
      <c:valAx>
        <c:axId val="423640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69029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8332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CaЭлКал!$C$5:$G$5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-0.038x + 15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CaЭлКал!$C$6:$F$6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CaЭлКал!$C$5:$F$5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-0.059x + 22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CaЭлКал!$C$7:$G$7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CaЭлКал!$C$5:$G$5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5732401"/>
        <c:axId val="8938426"/>
      </c:scatterChart>
      <c:valAx>
        <c:axId val="45732401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8938426"/>
        <c:crosses val="autoZero"/>
        <c:crossBetween val="midCat"/>
        <c:dispUnits/>
        <c:majorUnit val="20"/>
        <c:minorUnit val="5"/>
      </c:valAx>
      <c:valAx>
        <c:axId val="893842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crossAx val="457324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7"/>
          <c:y val="0.3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75"/>
          <c:h val="0.9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CaЭлКал!$C$4:$G$4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CaЭлКал!$C$4:$G$4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3336971"/>
        <c:axId val="52923876"/>
      </c:scatterChart>
      <c:valAx>
        <c:axId val="13336971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923876"/>
        <c:crosses val="autoZero"/>
        <c:crossBetween val="midCat"/>
        <c:dispUnits/>
        <c:majorUnit val="20"/>
        <c:minorUnit val="5"/>
      </c:valAx>
      <c:valAx>
        <c:axId val="52923876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3369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55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75"/>
          <c:w val="0.80075"/>
          <c:h val="0.8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 Cyr"/>
                        <a:ea typeface="Arial Cyr"/>
                        <a:cs typeface="Arial Cyr"/>
                      </a:rPr>
                      <a:t>y = -0.0145x + 8.84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FЭлКал!$C$7:$G$7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FЭлКал!$C$5:$G$5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552837"/>
        <c:axId val="58975534"/>
      </c:scatterChart>
      <c:valAx>
        <c:axId val="6552837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8975534"/>
        <c:crosses val="autoZero"/>
        <c:crossBetween val="midCat"/>
        <c:dispUnits/>
        <c:majorUnit val="50"/>
        <c:minorUnit val="10"/>
      </c:valAx>
      <c:valAx>
        <c:axId val="589755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out"/>
        <c:tickLblPos val="nextTo"/>
        <c:crossAx val="65528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"/>
          <c:y val="0.4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8525"/>
          <c:h val="0.9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FЭлКал!$B$6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FЭлКал!$C$6:$G$6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FЭлКал!$B$7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FЭлКал!$C$7:$G$7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FЭлКал!$C$4:$G$4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1017759"/>
        <c:axId val="12288920"/>
      </c:scatterChart>
      <c:valAx>
        <c:axId val="61017759"/>
        <c:scaling>
          <c:orientation val="minMax"/>
          <c:min val="2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288920"/>
        <c:crosses val="autoZero"/>
        <c:crossBetween val="midCat"/>
        <c:dispUnits/>
        <c:majorUnit val="50"/>
        <c:minorUnit val="10"/>
      </c:valAx>
      <c:valAx>
        <c:axId val="12288920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0177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60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FЭлКал!$C$47:$G$47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FЭлКал!$C$48:$G$48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491417"/>
        <c:axId val="55878434"/>
      </c:scatterChart>
      <c:valAx>
        <c:axId val="434914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55878434"/>
        <c:crosses val="autoZero"/>
        <c:crossBetween val="midCat"/>
        <c:dispUnits/>
      </c:valAx>
      <c:valAx>
        <c:axId val="55878434"/>
        <c:scaling>
          <c:orientation val="minMax"/>
          <c:max val="550"/>
          <c:min val="3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43491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FЭлКал!$D$57:$M$57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FЭлКал!$D$61:$M$61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3143859"/>
        <c:axId val="29859276"/>
      </c:scatterChart>
      <c:valAx>
        <c:axId val="3314385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59276"/>
        <c:crosses val="autoZero"/>
        <c:crossBetween val="midCat"/>
        <c:dispUnits/>
      </c:valAx>
      <c:valAx>
        <c:axId val="29859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43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FЭлКал!$C$57:$I$57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FЭлКал!$C$61:$I$61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98029"/>
        <c:axId val="2682262"/>
      </c:scatterChart>
      <c:valAx>
        <c:axId val="29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2262"/>
        <c:crosses val="autoZero"/>
        <c:crossBetween val="midCat"/>
        <c:dispUnits/>
      </c:valAx>
      <c:valAx>
        <c:axId val="2682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0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Relationship Id="rId19" Type="http://schemas.openxmlformats.org/officeDocument/2006/relationships/chart" Target="/xl/charts/chart33.xml" /><Relationship Id="rId20" Type="http://schemas.openxmlformats.org/officeDocument/2006/relationships/chart" Target="/xl/charts/chart34.xml" /><Relationship Id="rId21" Type="http://schemas.openxmlformats.org/officeDocument/2006/relationships/chart" Target="/xl/charts/chart35.xml" /><Relationship Id="rId22" Type="http://schemas.openxmlformats.org/officeDocument/2006/relationships/chart" Target="/xl/charts/chart36.xml" /><Relationship Id="rId23" Type="http://schemas.openxmlformats.org/officeDocument/2006/relationships/chart" Target="/xl/charts/chart37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Relationship Id="rId6" Type="http://schemas.openxmlformats.org/officeDocument/2006/relationships/chart" Target="/xl/charts/chart57.xml" /><Relationship Id="rId7" Type="http://schemas.openxmlformats.org/officeDocument/2006/relationships/chart" Target="/xl/charts/chart58.xml" /><Relationship Id="rId8" Type="http://schemas.openxmlformats.org/officeDocument/2006/relationships/chart" Target="/xl/charts/chart5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Relationship Id="rId3" Type="http://schemas.openxmlformats.org/officeDocument/2006/relationships/chart" Target="/xl/charts/chart97.xml" /><Relationship Id="rId4" Type="http://schemas.openxmlformats.org/officeDocument/2006/relationships/chart" Target="/xl/charts/chart98.xml" /><Relationship Id="rId5" Type="http://schemas.openxmlformats.org/officeDocument/2006/relationships/chart" Target="/xl/charts/chart9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Relationship Id="rId2" Type="http://schemas.openxmlformats.org/officeDocument/2006/relationships/chart" Target="/xl/charts/chart10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0.39525</cdr:x>
      <cdr:y>0.02175</cdr:y>
    </cdr:from>
    <cdr:to>
      <cdr:x>0.78725</cdr:x>
      <cdr:y>0.13625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19175" y="38100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  <cdr:relSizeAnchor xmlns:cdr="http://schemas.openxmlformats.org/drawingml/2006/chartDrawing">
    <cdr:from>
      <cdr:x>0.84575</cdr:x>
      <cdr:y>0.713</cdr:y>
    </cdr:from>
    <cdr:to>
      <cdr:x>0.9775</cdr:x>
      <cdr:y>0.8275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190750" y="12954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</a:t>
          </a:r>
        </a:p>
      </cdr:txBody>
    </cdr:sp>
  </cdr:relSizeAnchor>
  <cdr:relSizeAnchor xmlns:cdr="http://schemas.openxmlformats.org/drawingml/2006/chartDrawing">
    <cdr:from>
      <cdr:x>0.14875</cdr:x>
      <cdr:y>-0.011</cdr:y>
    </cdr:from>
    <cdr:to>
      <cdr:x>0.30625</cdr:x>
      <cdr:y>0.1035</cdr:y>
    </cdr:to>
    <cdr:sp>
      <cdr:nvSpPr>
        <cdr:cNvPr id="3" name="Текст 3"/>
        <cdr:cNvSpPr txBox="1">
          <a:spLocks noChangeArrowheads="1"/>
        </cdr:cNvSpPr>
      </cdr:nvSpPr>
      <cdr:spPr>
        <a:xfrm>
          <a:off x="381000" y="-19049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конд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0.692</cdr:y>
    </cdr:from>
    <cdr:to>
      <cdr:x>0.96225</cdr:x>
      <cdr:y>0.8115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209675"/>
          <a:ext cx="1266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Ca по мурексиду</a:t>
          </a:r>
        </a:p>
      </cdr:txBody>
    </cdr:sp>
  </cdr:relSizeAnchor>
  <cdr:relSizeAnchor xmlns:cdr="http://schemas.openxmlformats.org/drawingml/2006/chartDrawing">
    <cdr:from>
      <cdr:x>0.10775</cdr:x>
      <cdr:y>0</cdr:y>
    </cdr:from>
    <cdr:to>
      <cdr:x>0.496</cdr:x>
      <cdr:y>0.1195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57175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Ca пот. титр.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0.71475</cdr:y>
    </cdr:from>
    <cdr:to>
      <cdr:x>0.98875</cdr:x>
      <cdr:y>0.83425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857250" y="1247775"/>
          <a:ext cx="1543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Жестк. по эриохрому</a:t>
          </a:r>
        </a:p>
      </cdr:txBody>
    </cdr:sp>
  </cdr:relSizeAnchor>
  <cdr:relSizeAnchor xmlns:cdr="http://schemas.openxmlformats.org/drawingml/2006/chartDrawing">
    <cdr:from>
      <cdr:x>0.10775</cdr:x>
      <cdr:y>0</cdr:y>
    </cdr:from>
    <cdr:to>
      <cdr:x>0.58625</cdr:x>
      <cdr:y>0.1195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57175" y="0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Жеск. пот. титр.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0.71325</cdr:y>
    </cdr:from>
    <cdr:to>
      <cdr:x>0.964</cdr:x>
      <cdr:y>0.8465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771650" y="11144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</a:t>
          </a:r>
        </a:p>
      </cdr:txBody>
    </cdr:sp>
  </cdr:relSizeAnchor>
  <cdr:relSizeAnchor xmlns:cdr="http://schemas.openxmlformats.org/drawingml/2006/chartDrawing">
    <cdr:from>
      <cdr:x>0.134</cdr:x>
      <cdr:y>0.11075</cdr:y>
    </cdr:from>
    <cdr:to>
      <cdr:x>0.34175</cdr:x>
      <cdr:y>0.244</cdr:y>
    </cdr:to>
    <cdr:sp>
      <cdr:nvSpPr>
        <cdr:cNvPr id="2" name="Текст 2"/>
        <cdr:cNvSpPr txBox="1">
          <a:spLocks noChangeArrowheads="1"/>
        </cdr:cNvSpPr>
      </cdr:nvSpPr>
      <cdr:spPr>
        <a:xfrm>
          <a:off x="285750" y="1714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рН ст</a:t>
          </a:r>
        </a:p>
      </cdr:txBody>
    </cdr:sp>
  </cdr:relSizeAnchor>
  <cdr:relSizeAnchor xmlns:cdr="http://schemas.openxmlformats.org/drawingml/2006/chartDrawing">
    <cdr:from>
      <cdr:x>0.37975</cdr:x>
      <cdr:y>0.032</cdr:y>
    </cdr:from>
    <cdr:to>
      <cdr:x>0.79525</cdr:x>
      <cdr:y>0.16525</cdr:y>
    </cdr:to>
    <cdr:sp>
      <cdr:nvSpPr>
        <cdr:cNvPr id="3" name="Текст 3"/>
        <cdr:cNvSpPr txBox="1">
          <a:spLocks noChangeArrowheads="1"/>
        </cdr:cNvSpPr>
      </cdr:nvSpPr>
      <cdr:spPr>
        <a:xfrm>
          <a:off x="828675" y="47625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0.7105</cdr:y>
    </cdr:from>
    <cdr:to>
      <cdr:x>1</cdr:x>
      <cdr:y>0.84625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685925" y="10953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pH Sb</a:t>
          </a:r>
        </a:p>
      </cdr:txBody>
    </cdr:sp>
  </cdr:relSizeAnchor>
  <cdr:relSizeAnchor xmlns:cdr="http://schemas.openxmlformats.org/drawingml/2006/chartDrawing">
    <cdr:from>
      <cdr:x>0.1385</cdr:x>
      <cdr:y>0.1115</cdr:y>
    </cdr:from>
    <cdr:to>
      <cdr:x>0.35675</cdr:x>
      <cdr:y>0.24725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85750" y="1714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рН ст</a:t>
          </a:r>
        </a:p>
      </cdr:txBody>
    </cdr:sp>
  </cdr:relSizeAnchor>
  <cdr:relSizeAnchor xmlns:cdr="http://schemas.openxmlformats.org/drawingml/2006/chartDrawing">
    <cdr:from>
      <cdr:x>0.39325</cdr:x>
      <cdr:y>0.02625</cdr:y>
    </cdr:from>
    <cdr:to>
      <cdr:x>0.83425</cdr:x>
      <cdr:y>0.162</cdr:y>
    </cdr:to>
    <cdr:sp>
      <cdr:nvSpPr>
        <cdr:cNvPr id="3" name="Текст 4"/>
        <cdr:cNvSpPr txBox="1">
          <a:spLocks noChangeArrowheads="1"/>
        </cdr:cNvSpPr>
      </cdr:nvSpPr>
      <cdr:spPr>
        <a:xfrm>
          <a:off x="819150" y="38100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12</xdr:row>
      <xdr:rowOff>47625</xdr:rowOff>
    </xdr:from>
    <xdr:to>
      <xdr:col>20</xdr:col>
      <xdr:colOff>47625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915275" y="2066925"/>
        <a:ext cx="26003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24</xdr:row>
      <xdr:rowOff>38100</xdr:rowOff>
    </xdr:from>
    <xdr:to>
      <xdr:col>20</xdr:col>
      <xdr:colOff>133350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7915275" y="4000500"/>
        <a:ext cx="26860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209550</xdr:colOff>
      <xdr:row>12</xdr:row>
      <xdr:rowOff>104775</xdr:rowOff>
    </xdr:from>
    <xdr:to>
      <xdr:col>26</xdr:col>
      <xdr:colOff>9525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10677525" y="2124075"/>
        <a:ext cx="242887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266700</xdr:colOff>
      <xdr:row>23</xdr:row>
      <xdr:rowOff>152400</xdr:rowOff>
    </xdr:from>
    <xdr:to>
      <xdr:col>26</xdr:col>
      <xdr:colOff>19050</xdr:colOff>
      <xdr:row>34</xdr:row>
      <xdr:rowOff>104775</xdr:rowOff>
    </xdr:to>
    <xdr:graphicFrame>
      <xdr:nvGraphicFramePr>
        <xdr:cNvPr id="4" name="Chart 4"/>
        <xdr:cNvGraphicFramePr/>
      </xdr:nvGraphicFramePr>
      <xdr:xfrm>
        <a:off x="10734675" y="3952875"/>
        <a:ext cx="2381250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428625</xdr:colOff>
      <xdr:row>36</xdr:row>
      <xdr:rowOff>9525</xdr:rowOff>
    </xdr:from>
    <xdr:to>
      <xdr:col>19</xdr:col>
      <xdr:colOff>295275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8267700" y="5915025"/>
        <a:ext cx="205740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28575</xdr:colOff>
      <xdr:row>36</xdr:row>
      <xdr:rowOff>19050</xdr:rowOff>
    </xdr:from>
    <xdr:to>
      <xdr:col>24</xdr:col>
      <xdr:colOff>342900</xdr:colOff>
      <xdr:row>46</xdr:row>
      <xdr:rowOff>9525</xdr:rowOff>
    </xdr:to>
    <xdr:graphicFrame>
      <xdr:nvGraphicFramePr>
        <xdr:cNvPr id="6" name="Chart 6"/>
        <xdr:cNvGraphicFramePr/>
      </xdr:nvGraphicFramePr>
      <xdr:xfrm>
        <a:off x="10496550" y="5924550"/>
        <a:ext cx="206692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342900</xdr:colOff>
      <xdr:row>57</xdr:row>
      <xdr:rowOff>19050</xdr:rowOff>
    </xdr:from>
    <xdr:to>
      <xdr:col>18</xdr:col>
      <xdr:colOff>190500</xdr:colOff>
      <xdr:row>66</xdr:row>
      <xdr:rowOff>38100</xdr:rowOff>
    </xdr:to>
    <xdr:graphicFrame>
      <xdr:nvGraphicFramePr>
        <xdr:cNvPr id="7" name="Chart 7"/>
        <xdr:cNvGraphicFramePr/>
      </xdr:nvGraphicFramePr>
      <xdr:xfrm>
        <a:off x="7743825" y="9324975"/>
        <a:ext cx="2038350" cy="147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56</xdr:row>
      <xdr:rowOff>66675</xdr:rowOff>
    </xdr:from>
    <xdr:to>
      <xdr:col>13</xdr:col>
      <xdr:colOff>0</xdr:colOff>
      <xdr:row>66</xdr:row>
      <xdr:rowOff>142875</xdr:rowOff>
    </xdr:to>
    <xdr:graphicFrame>
      <xdr:nvGraphicFramePr>
        <xdr:cNvPr id="8" name="Chart 8"/>
        <xdr:cNvGraphicFramePr/>
      </xdr:nvGraphicFramePr>
      <xdr:xfrm>
        <a:off x="3648075" y="9210675"/>
        <a:ext cx="3752850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26</xdr:col>
      <xdr:colOff>114300</xdr:colOff>
      <xdr:row>12</xdr:row>
      <xdr:rowOff>104775</xdr:rowOff>
    </xdr:from>
    <xdr:to>
      <xdr:col>31</xdr:col>
      <xdr:colOff>352425</xdr:colOff>
      <xdr:row>23</xdr:row>
      <xdr:rowOff>76200</xdr:rowOff>
    </xdr:to>
    <xdr:graphicFrame>
      <xdr:nvGraphicFramePr>
        <xdr:cNvPr id="9" name="Chart 9"/>
        <xdr:cNvGraphicFramePr/>
      </xdr:nvGraphicFramePr>
      <xdr:xfrm>
        <a:off x="13211175" y="2124075"/>
        <a:ext cx="2428875" cy="1752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247650</xdr:colOff>
      <xdr:row>23</xdr:row>
      <xdr:rowOff>142875</xdr:rowOff>
    </xdr:from>
    <xdr:to>
      <xdr:col>32</xdr:col>
      <xdr:colOff>9525</xdr:colOff>
      <xdr:row>34</xdr:row>
      <xdr:rowOff>95250</xdr:rowOff>
    </xdr:to>
    <xdr:graphicFrame>
      <xdr:nvGraphicFramePr>
        <xdr:cNvPr id="10" name="Chart 10"/>
        <xdr:cNvGraphicFramePr/>
      </xdr:nvGraphicFramePr>
      <xdr:xfrm>
        <a:off x="13344525" y="3943350"/>
        <a:ext cx="2390775" cy="1733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133350</xdr:colOff>
      <xdr:row>36</xdr:row>
      <xdr:rowOff>19050</xdr:rowOff>
    </xdr:from>
    <xdr:to>
      <xdr:col>30</xdr:col>
      <xdr:colOff>371475</xdr:colOff>
      <xdr:row>46</xdr:row>
      <xdr:rowOff>152400</xdr:rowOff>
    </xdr:to>
    <xdr:graphicFrame>
      <xdr:nvGraphicFramePr>
        <xdr:cNvPr id="11" name="Chart 12"/>
        <xdr:cNvGraphicFramePr/>
      </xdr:nvGraphicFramePr>
      <xdr:xfrm>
        <a:off x="12792075" y="5924550"/>
        <a:ext cx="242887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114300</xdr:colOff>
      <xdr:row>47</xdr:row>
      <xdr:rowOff>85725</xdr:rowOff>
    </xdr:from>
    <xdr:to>
      <xdr:col>30</xdr:col>
      <xdr:colOff>352425</xdr:colOff>
      <xdr:row>58</xdr:row>
      <xdr:rowOff>57150</xdr:rowOff>
    </xdr:to>
    <xdr:graphicFrame>
      <xdr:nvGraphicFramePr>
        <xdr:cNvPr id="12" name="Chart 13"/>
        <xdr:cNvGraphicFramePr/>
      </xdr:nvGraphicFramePr>
      <xdr:xfrm>
        <a:off x="12773025" y="7772400"/>
        <a:ext cx="24288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19050</xdr:colOff>
      <xdr:row>7</xdr:row>
      <xdr:rowOff>104775</xdr:rowOff>
    </xdr:from>
    <xdr:to>
      <xdr:col>24</xdr:col>
      <xdr:colOff>28575</xdr:colOff>
      <xdr:row>17</xdr:row>
      <xdr:rowOff>57150</xdr:rowOff>
    </xdr:to>
    <xdr:graphicFrame>
      <xdr:nvGraphicFramePr>
        <xdr:cNvPr id="13" name="Chart 14"/>
        <xdr:cNvGraphicFramePr/>
      </xdr:nvGraphicFramePr>
      <xdr:xfrm>
        <a:off x="10048875" y="1314450"/>
        <a:ext cx="2200275" cy="1571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9525</xdr:colOff>
      <xdr:row>7</xdr:row>
      <xdr:rowOff>76200</xdr:rowOff>
    </xdr:from>
    <xdr:to>
      <xdr:col>18</xdr:col>
      <xdr:colOff>352425</xdr:colOff>
      <xdr:row>17</xdr:row>
      <xdr:rowOff>0</xdr:rowOff>
    </xdr:to>
    <xdr:graphicFrame>
      <xdr:nvGraphicFramePr>
        <xdr:cNvPr id="14" name="Chart 15"/>
        <xdr:cNvGraphicFramePr/>
      </xdr:nvGraphicFramePr>
      <xdr:xfrm>
        <a:off x="7848600" y="1285875"/>
        <a:ext cx="209550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0.7335</cdr:y>
    </cdr:from>
    <cdr:to>
      <cdr:x>0.91825</cdr:x>
      <cdr:y>0.8475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714500" y="134302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V(HCl), мл</a:t>
          </a:r>
        </a:p>
      </cdr:txBody>
    </cdr:sp>
  </cdr:relSizeAnchor>
  <cdr:relSizeAnchor xmlns:cdr="http://schemas.openxmlformats.org/drawingml/2006/chartDrawing">
    <cdr:from>
      <cdr:x>0.12125</cdr:x>
      <cdr:y>0.05425</cdr:y>
    </cdr:from>
    <cdr:to>
      <cdr:x>0.222</cdr:x>
      <cdr:y>0.16825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23850" y="9525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рН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0.6525</cdr:y>
    </cdr:from>
    <cdr:to>
      <cdr:x>0.85275</cdr:x>
      <cdr:y>0.77275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390525" y="1495425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объем HCl, мл</a:t>
          </a:r>
        </a:p>
      </cdr:txBody>
    </cdr:sp>
  </cdr:relSizeAnchor>
  <cdr:relSizeAnchor xmlns:cdr="http://schemas.openxmlformats.org/drawingml/2006/chartDrawing">
    <cdr:from>
      <cdr:x>0.19425</cdr:x>
      <cdr:y>0.067</cdr:y>
    </cdr:from>
    <cdr:to>
      <cdr:x>0.361</cdr:x>
      <cdr:y>0.18725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457200" y="15240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рН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0.6525</cdr:y>
    </cdr:from>
    <cdr:to>
      <cdr:x>0.93675</cdr:x>
      <cdr:y>0.77275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600075" y="1495425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объем HCl, мл</a:t>
          </a:r>
        </a:p>
      </cdr:txBody>
    </cdr:sp>
  </cdr:relSizeAnchor>
  <cdr:relSizeAnchor xmlns:cdr="http://schemas.openxmlformats.org/drawingml/2006/chartDrawing">
    <cdr:from>
      <cdr:x>0.2755</cdr:x>
      <cdr:y>0.067</cdr:y>
    </cdr:from>
    <cdr:to>
      <cdr:x>0.44225</cdr:x>
      <cdr:y>0.18725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657225" y="15240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рН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0.88575</cdr:y>
    </cdr:from>
    <cdr:to>
      <cdr:x>0.865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76375"/>
          <a:ext cx="1695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объем кислоты, мл</a:t>
          </a:r>
        </a:p>
      </cdr:txBody>
    </cdr:sp>
  </cdr:relSizeAnchor>
  <cdr:relSizeAnchor xmlns:cdr="http://schemas.openxmlformats.org/drawingml/2006/chartDrawing">
    <cdr:from>
      <cdr:x>0.09125</cdr:x>
      <cdr:y>0.2065</cdr:y>
    </cdr:from>
    <cdr:to>
      <cdr:x>0.24525</cdr:x>
      <cdr:y>0.29975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342900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pH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4</xdr:row>
      <xdr:rowOff>0</xdr:rowOff>
    </xdr:from>
    <xdr:to>
      <xdr:col>22</xdr:col>
      <xdr:colOff>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7200900" y="685800"/>
        <a:ext cx="29337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85725</xdr:colOff>
      <xdr:row>4</xdr:row>
      <xdr:rowOff>9525</xdr:rowOff>
    </xdr:from>
    <xdr:to>
      <xdr:col>28</xdr:col>
      <xdr:colOff>390525</xdr:colOff>
      <xdr:row>15</xdr:row>
      <xdr:rowOff>66675</xdr:rowOff>
    </xdr:to>
    <xdr:graphicFrame>
      <xdr:nvGraphicFramePr>
        <xdr:cNvPr id="2" name="Chart 3"/>
        <xdr:cNvGraphicFramePr/>
      </xdr:nvGraphicFramePr>
      <xdr:xfrm>
        <a:off x="10220325" y="695325"/>
        <a:ext cx="29337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85725</xdr:colOff>
      <xdr:row>46</xdr:row>
      <xdr:rowOff>152400</xdr:rowOff>
    </xdr:from>
    <xdr:to>
      <xdr:col>34</xdr:col>
      <xdr:colOff>390525</xdr:colOff>
      <xdr:row>58</xdr:row>
      <xdr:rowOff>47625</xdr:rowOff>
    </xdr:to>
    <xdr:graphicFrame>
      <xdr:nvGraphicFramePr>
        <xdr:cNvPr id="3" name="Chart 4"/>
        <xdr:cNvGraphicFramePr/>
      </xdr:nvGraphicFramePr>
      <xdr:xfrm>
        <a:off x="12849225" y="7639050"/>
        <a:ext cx="293370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19050</xdr:colOff>
      <xdr:row>47</xdr:row>
      <xdr:rowOff>0</xdr:rowOff>
    </xdr:from>
    <xdr:to>
      <xdr:col>41</xdr:col>
      <xdr:colOff>333375</xdr:colOff>
      <xdr:row>58</xdr:row>
      <xdr:rowOff>57150</xdr:rowOff>
    </xdr:to>
    <xdr:graphicFrame>
      <xdr:nvGraphicFramePr>
        <xdr:cNvPr id="4" name="Chart 5"/>
        <xdr:cNvGraphicFramePr/>
      </xdr:nvGraphicFramePr>
      <xdr:xfrm>
        <a:off x="15849600" y="7648575"/>
        <a:ext cx="294322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95250</xdr:colOff>
      <xdr:row>33</xdr:row>
      <xdr:rowOff>0</xdr:rowOff>
    </xdr:from>
    <xdr:to>
      <xdr:col>39</xdr:col>
      <xdr:colOff>409575</xdr:colOff>
      <xdr:row>44</xdr:row>
      <xdr:rowOff>0</xdr:rowOff>
    </xdr:to>
    <xdr:graphicFrame>
      <xdr:nvGraphicFramePr>
        <xdr:cNvPr id="5" name="Chart 6"/>
        <xdr:cNvGraphicFramePr/>
      </xdr:nvGraphicFramePr>
      <xdr:xfrm>
        <a:off x="15049500" y="5381625"/>
        <a:ext cx="294322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47625</xdr:colOff>
      <xdr:row>33</xdr:row>
      <xdr:rowOff>0</xdr:rowOff>
    </xdr:from>
    <xdr:to>
      <xdr:col>46</xdr:col>
      <xdr:colOff>352425</xdr:colOff>
      <xdr:row>44</xdr:row>
      <xdr:rowOff>0</xdr:rowOff>
    </xdr:to>
    <xdr:graphicFrame>
      <xdr:nvGraphicFramePr>
        <xdr:cNvPr id="6" name="Chart 7"/>
        <xdr:cNvGraphicFramePr/>
      </xdr:nvGraphicFramePr>
      <xdr:xfrm>
        <a:off x="18068925" y="5381625"/>
        <a:ext cx="293370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57150</xdr:colOff>
      <xdr:row>19</xdr:row>
      <xdr:rowOff>47625</xdr:rowOff>
    </xdr:from>
    <xdr:to>
      <xdr:col>34</xdr:col>
      <xdr:colOff>361950</xdr:colOff>
      <xdr:row>31</xdr:row>
      <xdr:rowOff>104775</xdr:rowOff>
    </xdr:to>
    <xdr:graphicFrame>
      <xdr:nvGraphicFramePr>
        <xdr:cNvPr id="7" name="Chart 8"/>
        <xdr:cNvGraphicFramePr/>
      </xdr:nvGraphicFramePr>
      <xdr:xfrm>
        <a:off x="12820650" y="3162300"/>
        <a:ext cx="293370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34</xdr:col>
      <xdr:colOff>409575</xdr:colOff>
      <xdr:row>19</xdr:row>
      <xdr:rowOff>28575</xdr:rowOff>
    </xdr:from>
    <xdr:to>
      <xdr:col>41</xdr:col>
      <xdr:colOff>276225</xdr:colOff>
      <xdr:row>31</xdr:row>
      <xdr:rowOff>85725</xdr:rowOff>
    </xdr:to>
    <xdr:graphicFrame>
      <xdr:nvGraphicFramePr>
        <xdr:cNvPr id="8" name="Chart 9"/>
        <xdr:cNvGraphicFramePr/>
      </xdr:nvGraphicFramePr>
      <xdr:xfrm>
        <a:off x="15801975" y="3143250"/>
        <a:ext cx="2933700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133350</xdr:colOff>
      <xdr:row>130</xdr:row>
      <xdr:rowOff>114300</xdr:rowOff>
    </xdr:from>
    <xdr:to>
      <xdr:col>20</xdr:col>
      <xdr:colOff>371475</xdr:colOff>
      <xdr:row>142</xdr:row>
      <xdr:rowOff>57150</xdr:rowOff>
    </xdr:to>
    <xdr:graphicFrame>
      <xdr:nvGraphicFramePr>
        <xdr:cNvPr id="9" name="Chart 10"/>
        <xdr:cNvGraphicFramePr/>
      </xdr:nvGraphicFramePr>
      <xdr:xfrm>
        <a:off x="7200900" y="21202650"/>
        <a:ext cx="2428875" cy="1885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200025</xdr:colOff>
      <xdr:row>60</xdr:row>
      <xdr:rowOff>76200</xdr:rowOff>
    </xdr:from>
    <xdr:to>
      <xdr:col>30</xdr:col>
      <xdr:colOff>66675</xdr:colOff>
      <xdr:row>72</xdr:row>
      <xdr:rowOff>133350</xdr:rowOff>
    </xdr:to>
    <xdr:graphicFrame>
      <xdr:nvGraphicFramePr>
        <xdr:cNvPr id="10" name="Chart 11"/>
        <xdr:cNvGraphicFramePr/>
      </xdr:nvGraphicFramePr>
      <xdr:xfrm>
        <a:off x="10772775" y="9829800"/>
        <a:ext cx="293370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161925</xdr:colOff>
      <xdr:row>60</xdr:row>
      <xdr:rowOff>57150</xdr:rowOff>
    </xdr:from>
    <xdr:to>
      <xdr:col>37</xdr:col>
      <xdr:colOff>28575</xdr:colOff>
      <xdr:row>72</xdr:row>
      <xdr:rowOff>114300</xdr:rowOff>
    </xdr:to>
    <xdr:graphicFrame>
      <xdr:nvGraphicFramePr>
        <xdr:cNvPr id="11" name="Chart 12"/>
        <xdr:cNvGraphicFramePr/>
      </xdr:nvGraphicFramePr>
      <xdr:xfrm>
        <a:off x="13801725" y="9810750"/>
        <a:ext cx="2933700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123825</xdr:colOff>
      <xdr:row>74</xdr:row>
      <xdr:rowOff>114300</xdr:rowOff>
    </xdr:from>
    <xdr:to>
      <xdr:col>29</xdr:col>
      <xdr:colOff>428625</xdr:colOff>
      <xdr:row>87</xdr:row>
      <xdr:rowOff>9525</xdr:rowOff>
    </xdr:to>
    <xdr:graphicFrame>
      <xdr:nvGraphicFramePr>
        <xdr:cNvPr id="12" name="Chart 13"/>
        <xdr:cNvGraphicFramePr/>
      </xdr:nvGraphicFramePr>
      <xdr:xfrm>
        <a:off x="10696575" y="12134850"/>
        <a:ext cx="2933700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76200</xdr:colOff>
      <xdr:row>74</xdr:row>
      <xdr:rowOff>114300</xdr:rowOff>
    </xdr:from>
    <xdr:to>
      <xdr:col>36</xdr:col>
      <xdr:colOff>381000</xdr:colOff>
      <xdr:row>87</xdr:row>
      <xdr:rowOff>9525</xdr:rowOff>
    </xdr:to>
    <xdr:graphicFrame>
      <xdr:nvGraphicFramePr>
        <xdr:cNvPr id="13" name="Chart 14"/>
        <xdr:cNvGraphicFramePr/>
      </xdr:nvGraphicFramePr>
      <xdr:xfrm>
        <a:off x="13716000" y="12134850"/>
        <a:ext cx="2933700" cy="2000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276225</xdr:colOff>
      <xdr:row>88</xdr:row>
      <xdr:rowOff>123825</xdr:rowOff>
    </xdr:from>
    <xdr:to>
      <xdr:col>27</xdr:col>
      <xdr:colOff>142875</xdr:colOff>
      <xdr:row>101</xdr:row>
      <xdr:rowOff>19050</xdr:rowOff>
    </xdr:to>
    <xdr:graphicFrame>
      <xdr:nvGraphicFramePr>
        <xdr:cNvPr id="14" name="Chart 15"/>
        <xdr:cNvGraphicFramePr/>
      </xdr:nvGraphicFramePr>
      <xdr:xfrm>
        <a:off x="9534525" y="14411325"/>
        <a:ext cx="293370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247650</xdr:colOff>
      <xdr:row>88</xdr:row>
      <xdr:rowOff>123825</xdr:rowOff>
    </xdr:from>
    <xdr:to>
      <xdr:col>34</xdr:col>
      <xdr:colOff>123825</xdr:colOff>
      <xdr:row>101</xdr:row>
      <xdr:rowOff>19050</xdr:rowOff>
    </xdr:to>
    <xdr:graphicFrame>
      <xdr:nvGraphicFramePr>
        <xdr:cNvPr id="15" name="Chart 16"/>
        <xdr:cNvGraphicFramePr/>
      </xdr:nvGraphicFramePr>
      <xdr:xfrm>
        <a:off x="12573000" y="14411325"/>
        <a:ext cx="2943225" cy="2000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28</xdr:col>
      <xdr:colOff>171450</xdr:colOff>
      <xdr:row>116</xdr:row>
      <xdr:rowOff>95250</xdr:rowOff>
    </xdr:from>
    <xdr:to>
      <xdr:col>36</xdr:col>
      <xdr:colOff>114300</xdr:colOff>
      <xdr:row>128</xdr:row>
      <xdr:rowOff>38100</xdr:rowOff>
    </xdr:to>
    <xdr:graphicFrame>
      <xdr:nvGraphicFramePr>
        <xdr:cNvPr id="16" name="Chart 17"/>
        <xdr:cNvGraphicFramePr/>
      </xdr:nvGraphicFramePr>
      <xdr:xfrm>
        <a:off x="12934950" y="18916650"/>
        <a:ext cx="3448050" cy="1885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36</xdr:col>
      <xdr:colOff>161925</xdr:colOff>
      <xdr:row>116</xdr:row>
      <xdr:rowOff>95250</xdr:rowOff>
    </xdr:from>
    <xdr:to>
      <xdr:col>44</xdr:col>
      <xdr:colOff>95250</xdr:colOff>
      <xdr:row>128</xdr:row>
      <xdr:rowOff>38100</xdr:rowOff>
    </xdr:to>
    <xdr:graphicFrame>
      <xdr:nvGraphicFramePr>
        <xdr:cNvPr id="17" name="Chart 18"/>
        <xdr:cNvGraphicFramePr/>
      </xdr:nvGraphicFramePr>
      <xdr:xfrm>
        <a:off x="16430625" y="18916650"/>
        <a:ext cx="3438525" cy="1885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304800</xdr:colOff>
      <xdr:row>102</xdr:row>
      <xdr:rowOff>9525</xdr:rowOff>
    </xdr:from>
    <xdr:to>
      <xdr:col>32</xdr:col>
      <xdr:colOff>19050</xdr:colOff>
      <xdr:row>113</xdr:row>
      <xdr:rowOff>114300</xdr:rowOff>
    </xdr:to>
    <xdr:graphicFrame>
      <xdr:nvGraphicFramePr>
        <xdr:cNvPr id="18" name="Chart 19"/>
        <xdr:cNvGraphicFramePr/>
      </xdr:nvGraphicFramePr>
      <xdr:xfrm>
        <a:off x="11753850" y="16563975"/>
        <a:ext cx="2781300" cy="1885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32</xdr:col>
      <xdr:colOff>85725</xdr:colOff>
      <xdr:row>102</xdr:row>
      <xdr:rowOff>9525</xdr:rowOff>
    </xdr:from>
    <xdr:to>
      <xdr:col>38</xdr:col>
      <xdr:colOff>238125</xdr:colOff>
      <xdr:row>113</xdr:row>
      <xdr:rowOff>114300</xdr:rowOff>
    </xdr:to>
    <xdr:graphicFrame>
      <xdr:nvGraphicFramePr>
        <xdr:cNvPr id="19" name="Chart 20"/>
        <xdr:cNvGraphicFramePr/>
      </xdr:nvGraphicFramePr>
      <xdr:xfrm>
        <a:off x="14601825" y="16563975"/>
        <a:ext cx="2781300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42</xdr:col>
      <xdr:colOff>9525</xdr:colOff>
      <xdr:row>46</xdr:row>
      <xdr:rowOff>104775</xdr:rowOff>
    </xdr:from>
    <xdr:to>
      <xdr:col>48</xdr:col>
      <xdr:colOff>123825</xdr:colOff>
      <xdr:row>58</xdr:row>
      <xdr:rowOff>0</xdr:rowOff>
    </xdr:to>
    <xdr:graphicFrame>
      <xdr:nvGraphicFramePr>
        <xdr:cNvPr id="20" name="Chart 21"/>
        <xdr:cNvGraphicFramePr/>
      </xdr:nvGraphicFramePr>
      <xdr:xfrm>
        <a:off x="18907125" y="7591425"/>
        <a:ext cx="2743200" cy="1838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21</xdr:col>
      <xdr:colOff>428625</xdr:colOff>
      <xdr:row>127</xdr:row>
      <xdr:rowOff>0</xdr:rowOff>
    </xdr:from>
    <xdr:to>
      <xdr:col>27</xdr:col>
      <xdr:colOff>200025</xdr:colOff>
      <xdr:row>141</xdr:row>
      <xdr:rowOff>28575</xdr:rowOff>
    </xdr:to>
    <xdr:graphicFrame>
      <xdr:nvGraphicFramePr>
        <xdr:cNvPr id="21" name="Chart 22"/>
        <xdr:cNvGraphicFramePr/>
      </xdr:nvGraphicFramePr>
      <xdr:xfrm>
        <a:off x="10125075" y="20602575"/>
        <a:ext cx="240030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28</xdr:col>
      <xdr:colOff>9525</xdr:colOff>
      <xdr:row>127</xdr:row>
      <xdr:rowOff>9525</xdr:rowOff>
    </xdr:from>
    <xdr:to>
      <xdr:col>33</xdr:col>
      <xdr:colOff>219075</xdr:colOff>
      <xdr:row>141</xdr:row>
      <xdr:rowOff>38100</xdr:rowOff>
    </xdr:to>
    <xdr:graphicFrame>
      <xdr:nvGraphicFramePr>
        <xdr:cNvPr id="22" name="Chart 24"/>
        <xdr:cNvGraphicFramePr/>
      </xdr:nvGraphicFramePr>
      <xdr:xfrm>
        <a:off x="12773025" y="20612100"/>
        <a:ext cx="240030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28575</xdr:colOff>
      <xdr:row>113</xdr:row>
      <xdr:rowOff>66675</xdr:rowOff>
    </xdr:from>
    <xdr:to>
      <xdr:col>10</xdr:col>
      <xdr:colOff>342900</xdr:colOff>
      <xdr:row>123</xdr:row>
      <xdr:rowOff>114300</xdr:rowOff>
    </xdr:to>
    <xdr:graphicFrame>
      <xdr:nvGraphicFramePr>
        <xdr:cNvPr id="23" name="Chart 26"/>
        <xdr:cNvGraphicFramePr/>
      </xdr:nvGraphicFramePr>
      <xdr:xfrm>
        <a:off x="2714625" y="18402300"/>
        <a:ext cx="2505075" cy="1666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0.70825</cdr:y>
    </cdr:from>
    <cdr:to>
      <cdr:x>0.885</cdr:x>
      <cdr:y>0.821</cdr:y>
    </cdr:to>
    <cdr:sp>
      <cdr:nvSpPr>
        <cdr:cNvPr id="1" name="Текст 1"/>
        <cdr:cNvSpPr txBox="1">
          <a:spLocks noChangeArrowheads="1"/>
        </cdr:cNvSpPr>
      </cdr:nvSpPr>
      <cdr:spPr>
        <a:xfrm>
          <a:off x="2028825" y="131445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</a:t>
          </a:r>
        </a:p>
      </cdr:txBody>
    </cdr:sp>
  </cdr:relSizeAnchor>
  <cdr:relSizeAnchor xmlns:cdr="http://schemas.openxmlformats.org/drawingml/2006/chartDrawing">
    <cdr:from>
      <cdr:x>0.1455</cdr:x>
      <cdr:y>0.17225</cdr:y>
    </cdr:from>
    <cdr:to>
      <cdr:x>0.3335</cdr:x>
      <cdr:y>0.285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90525" y="3143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рН Sb</a:t>
          </a:r>
        </a:p>
      </cdr:txBody>
    </cdr:sp>
  </cdr:relSizeAnchor>
  <cdr:relSizeAnchor xmlns:cdr="http://schemas.openxmlformats.org/drawingml/2006/chartDrawing">
    <cdr:from>
      <cdr:x>0.3265</cdr:x>
      <cdr:y>0.0055</cdr:y>
    </cdr:from>
    <cdr:to>
      <cdr:x>0.667</cdr:x>
      <cdr:y>0.11825</cdr:y>
    </cdr:to>
    <cdr:sp>
      <cdr:nvSpPr>
        <cdr:cNvPr id="3" name="Текст 3"/>
        <cdr:cNvSpPr txBox="1">
          <a:spLocks noChangeArrowheads="1"/>
        </cdr:cNvSpPr>
      </cdr:nvSpPr>
      <cdr:spPr>
        <a:xfrm>
          <a:off x="876300" y="9525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95250</xdr:rowOff>
    </xdr:from>
    <xdr:to>
      <xdr:col>11</xdr:col>
      <xdr:colOff>323850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3590925" y="419100"/>
        <a:ext cx="32099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20</xdr:row>
      <xdr:rowOff>66675</xdr:rowOff>
    </xdr:from>
    <xdr:to>
      <xdr:col>12</xdr:col>
      <xdr:colOff>161925</xdr:colOff>
      <xdr:row>36</xdr:row>
      <xdr:rowOff>66675</xdr:rowOff>
    </xdr:to>
    <xdr:graphicFrame>
      <xdr:nvGraphicFramePr>
        <xdr:cNvPr id="2" name="Chart 3"/>
        <xdr:cNvGraphicFramePr/>
      </xdr:nvGraphicFramePr>
      <xdr:xfrm>
        <a:off x="3371850" y="3305175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20</xdr:row>
      <xdr:rowOff>142875</xdr:rowOff>
    </xdr:from>
    <xdr:to>
      <xdr:col>17</xdr:col>
      <xdr:colOff>561975</xdr:colOff>
      <xdr:row>36</xdr:row>
      <xdr:rowOff>142875</xdr:rowOff>
    </xdr:to>
    <xdr:graphicFrame>
      <xdr:nvGraphicFramePr>
        <xdr:cNvPr id="3" name="Chart 4"/>
        <xdr:cNvGraphicFramePr/>
      </xdr:nvGraphicFramePr>
      <xdr:xfrm>
        <a:off x="7153275" y="3381375"/>
        <a:ext cx="40005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0.907</cdr:y>
    </cdr:from>
    <cdr:to>
      <cdr:x>0.71</cdr:x>
      <cdr:y>1</cdr:y>
    </cdr:to>
    <cdr:sp>
      <cdr:nvSpPr>
        <cdr:cNvPr id="1" name="Текст 1"/>
        <cdr:cNvSpPr txBox="1">
          <a:spLocks noChangeArrowheads="1"/>
        </cdr:cNvSpPr>
      </cdr:nvSpPr>
      <cdr:spPr>
        <a:xfrm>
          <a:off x="952500" y="1657350"/>
          <a:ext cx="933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Объем HCl, мл</a:t>
          </a:r>
        </a:p>
      </cdr:txBody>
    </cdr:sp>
  </cdr:relSizeAnchor>
  <cdr:relSizeAnchor xmlns:cdr="http://schemas.openxmlformats.org/drawingml/2006/chartDrawing">
    <cdr:from>
      <cdr:x>0.14125</cdr:x>
      <cdr:y>0.03825</cdr:y>
    </cdr:from>
    <cdr:to>
      <cdr:x>0.466</cdr:x>
      <cdr:y>0.131</cdr:y>
    </cdr:to>
    <cdr:sp>
      <cdr:nvSpPr>
        <cdr:cNvPr id="2" name="Текст 2"/>
        <cdr:cNvSpPr txBox="1">
          <a:spLocks noChangeArrowheads="1"/>
        </cdr:cNvSpPr>
      </cdr:nvSpPr>
      <cdr:spPr>
        <a:xfrm>
          <a:off x="371475" y="66675"/>
          <a:ext cx="866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latin typeface="Symbol"/>
              <a:ea typeface="Symbol"/>
              <a:cs typeface="Symbol"/>
            </a:rPr>
            <a:t>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, мкСм/см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13</xdr:row>
      <xdr:rowOff>114300</xdr:rowOff>
    </xdr:from>
    <xdr:to>
      <xdr:col>25</xdr:col>
      <xdr:colOff>133350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058275" y="2257425"/>
        <a:ext cx="26670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44</xdr:row>
      <xdr:rowOff>0</xdr:rowOff>
    </xdr:from>
    <xdr:to>
      <xdr:col>17</xdr:col>
      <xdr:colOff>276225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5695950" y="7162800"/>
        <a:ext cx="26670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29</xdr:row>
      <xdr:rowOff>57150</xdr:rowOff>
    </xdr:from>
    <xdr:to>
      <xdr:col>25</xdr:col>
      <xdr:colOff>47625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8972550" y="4791075"/>
        <a:ext cx="266700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142875</xdr:colOff>
      <xdr:row>1</xdr:row>
      <xdr:rowOff>85725</xdr:rowOff>
    </xdr:from>
    <xdr:to>
      <xdr:col>18</xdr:col>
      <xdr:colOff>361950</xdr:colOff>
      <xdr:row>10</xdr:row>
      <xdr:rowOff>114300</xdr:rowOff>
    </xdr:to>
    <xdr:graphicFrame>
      <xdr:nvGraphicFramePr>
        <xdr:cNvPr id="4" name="Chart 4"/>
        <xdr:cNvGraphicFramePr/>
      </xdr:nvGraphicFramePr>
      <xdr:xfrm>
        <a:off x="6477000" y="285750"/>
        <a:ext cx="2409825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171450</xdr:colOff>
      <xdr:row>11</xdr:row>
      <xdr:rowOff>28575</xdr:rowOff>
    </xdr:from>
    <xdr:to>
      <xdr:col>19</xdr:col>
      <xdr:colOff>161925</xdr:colOff>
      <xdr:row>21</xdr:row>
      <xdr:rowOff>57150</xdr:rowOff>
    </xdr:to>
    <xdr:graphicFrame>
      <xdr:nvGraphicFramePr>
        <xdr:cNvPr id="5" name="Chart 5"/>
        <xdr:cNvGraphicFramePr/>
      </xdr:nvGraphicFramePr>
      <xdr:xfrm>
        <a:off x="6505575" y="1847850"/>
        <a:ext cx="2619375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47625</xdr:colOff>
      <xdr:row>20</xdr:row>
      <xdr:rowOff>19050</xdr:rowOff>
    </xdr:from>
    <xdr:to>
      <xdr:col>32</xdr:col>
      <xdr:colOff>428625</xdr:colOff>
      <xdr:row>29</xdr:row>
      <xdr:rowOff>57150</xdr:rowOff>
    </xdr:to>
    <xdr:graphicFrame>
      <xdr:nvGraphicFramePr>
        <xdr:cNvPr id="6" name="Chart 6"/>
        <xdr:cNvGraphicFramePr/>
      </xdr:nvGraphicFramePr>
      <xdr:xfrm>
        <a:off x="12077700" y="3295650"/>
        <a:ext cx="300990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209550</xdr:colOff>
      <xdr:row>23</xdr:row>
      <xdr:rowOff>95250</xdr:rowOff>
    </xdr:from>
    <xdr:to>
      <xdr:col>14</xdr:col>
      <xdr:colOff>238125</xdr:colOff>
      <xdr:row>34</xdr:row>
      <xdr:rowOff>28575</xdr:rowOff>
    </xdr:to>
    <xdr:graphicFrame>
      <xdr:nvGraphicFramePr>
        <xdr:cNvPr id="7" name="Chart 7"/>
        <xdr:cNvGraphicFramePr/>
      </xdr:nvGraphicFramePr>
      <xdr:xfrm>
        <a:off x="4791075" y="3857625"/>
        <a:ext cx="221932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333375</xdr:colOff>
      <xdr:row>35</xdr:row>
      <xdr:rowOff>152400</xdr:rowOff>
    </xdr:from>
    <xdr:to>
      <xdr:col>32</xdr:col>
      <xdr:colOff>57150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11925300" y="5857875"/>
        <a:ext cx="279082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200025</xdr:colOff>
      <xdr:row>0</xdr:row>
      <xdr:rowOff>190500</xdr:rowOff>
    </xdr:from>
    <xdr:to>
      <xdr:col>25</xdr:col>
      <xdr:colOff>228600</xdr:colOff>
      <xdr:row>12</xdr:row>
      <xdr:rowOff>38100</xdr:rowOff>
    </xdr:to>
    <xdr:graphicFrame>
      <xdr:nvGraphicFramePr>
        <xdr:cNvPr id="9" name="Chart 9"/>
        <xdr:cNvGraphicFramePr/>
      </xdr:nvGraphicFramePr>
      <xdr:xfrm>
        <a:off x="9163050" y="190500"/>
        <a:ext cx="2657475" cy="182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</xdr:row>
      <xdr:rowOff>114300</xdr:rowOff>
    </xdr:from>
    <xdr:to>
      <xdr:col>19</xdr:col>
      <xdr:colOff>390525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91325" y="314325"/>
        <a:ext cx="25527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15</xdr:row>
      <xdr:rowOff>57150</xdr:rowOff>
    </xdr:from>
    <xdr:to>
      <xdr:col>18</xdr:col>
      <xdr:colOff>361950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6048375" y="2524125"/>
        <a:ext cx="28289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0.7435</cdr:y>
    </cdr:from>
    <cdr:to>
      <cdr:x>0.71075</cdr:x>
      <cdr:y>0.84725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181100" y="1495425"/>
          <a:ext cx="12192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объем ЭДТА, мл</a:t>
          </a:r>
        </a:p>
      </cdr:txBody>
    </cdr:sp>
  </cdr:relSizeAnchor>
  <cdr:relSizeAnchor xmlns:cdr="http://schemas.openxmlformats.org/drawingml/2006/chartDrawing">
    <cdr:from>
      <cdr:x>0.1265</cdr:x>
      <cdr:y>0.05425</cdr:y>
    </cdr:from>
    <cdr:to>
      <cdr:x>0.4505</cdr:x>
      <cdr:y>0.158</cdr:y>
    </cdr:to>
    <cdr:sp>
      <cdr:nvSpPr>
        <cdr:cNvPr id="2" name="Текст 2"/>
        <cdr:cNvSpPr txBox="1">
          <a:spLocks noChangeArrowheads="1"/>
        </cdr:cNvSpPr>
      </cdr:nvSpPr>
      <cdr:spPr>
        <a:xfrm>
          <a:off x="419100" y="104775"/>
          <a:ext cx="109537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Потенциал, мВ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0.0295</cdr:y>
    </cdr:from>
    <cdr:to>
      <cdr:x>0.2755</cdr:x>
      <cdr:y>0.153</cdr:y>
    </cdr:to>
    <cdr:sp>
      <cdr:nvSpPr>
        <cdr:cNvPr id="1" name="Текст 1"/>
        <cdr:cNvSpPr txBox="1">
          <a:spLocks noChangeArrowheads="1"/>
        </cdr:cNvSpPr>
      </cdr:nvSpPr>
      <cdr:spPr>
        <a:xfrm>
          <a:off x="333375" y="476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U, мВ</a:t>
          </a:r>
        </a:p>
      </cdr:txBody>
    </cdr:sp>
  </cdr:relSizeAnchor>
  <cdr:relSizeAnchor xmlns:cdr="http://schemas.openxmlformats.org/drawingml/2006/chartDrawing">
    <cdr:from>
      <cdr:x>0.3175</cdr:x>
      <cdr:y>0.7105</cdr:y>
    </cdr:from>
    <cdr:to>
      <cdr:x>0.63275</cdr:x>
      <cdr:y>0.834</cdr:y>
    </cdr:to>
    <cdr:sp>
      <cdr:nvSpPr>
        <cdr:cNvPr id="2" name="Текст 2"/>
        <cdr:cNvSpPr txBox="1">
          <a:spLocks noChangeArrowheads="1"/>
        </cdr:cNvSpPr>
      </cdr:nvSpPr>
      <cdr:spPr>
        <a:xfrm>
          <a:off x="942975" y="120015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V(ЭДТА), мл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314325</xdr:colOff>
      <xdr:row>1</xdr:row>
      <xdr:rowOff>133350</xdr:rowOff>
    </xdr:from>
    <xdr:to>
      <xdr:col>39</xdr:col>
      <xdr:colOff>200025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4678025" y="333375"/>
        <a:ext cx="3390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66675</xdr:colOff>
      <xdr:row>12</xdr:row>
      <xdr:rowOff>123825</xdr:rowOff>
    </xdr:from>
    <xdr:to>
      <xdr:col>39</xdr:col>
      <xdr:colOff>381000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14868525" y="2105025"/>
        <a:ext cx="3381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200025</xdr:colOff>
      <xdr:row>33</xdr:row>
      <xdr:rowOff>95250</xdr:rowOff>
    </xdr:from>
    <xdr:to>
      <xdr:col>29</xdr:col>
      <xdr:colOff>76200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10182225" y="5476875"/>
        <a:ext cx="33813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114300</xdr:colOff>
      <xdr:row>37</xdr:row>
      <xdr:rowOff>95250</xdr:rowOff>
    </xdr:from>
    <xdr:to>
      <xdr:col>36</xdr:col>
      <xdr:colOff>428625</xdr:colOff>
      <xdr:row>51</xdr:row>
      <xdr:rowOff>9525</xdr:rowOff>
    </xdr:to>
    <xdr:graphicFrame>
      <xdr:nvGraphicFramePr>
        <xdr:cNvPr id="4" name="Chart 4"/>
        <xdr:cNvGraphicFramePr/>
      </xdr:nvGraphicFramePr>
      <xdr:xfrm>
        <a:off x="13601700" y="6124575"/>
        <a:ext cx="3381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19050</xdr:colOff>
      <xdr:row>26</xdr:row>
      <xdr:rowOff>19050</xdr:rowOff>
    </xdr:from>
    <xdr:to>
      <xdr:col>39</xdr:col>
      <xdr:colOff>342900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4820900" y="4267200"/>
        <a:ext cx="33909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190500</xdr:colOff>
      <xdr:row>17</xdr:row>
      <xdr:rowOff>142875</xdr:rowOff>
    </xdr:from>
    <xdr:to>
      <xdr:col>35</xdr:col>
      <xdr:colOff>200025</xdr:colOff>
      <xdr:row>30</xdr:row>
      <xdr:rowOff>95250</xdr:rowOff>
    </xdr:to>
    <xdr:graphicFrame>
      <xdr:nvGraphicFramePr>
        <xdr:cNvPr id="6" name="Chart 7"/>
        <xdr:cNvGraphicFramePr/>
      </xdr:nvGraphicFramePr>
      <xdr:xfrm>
        <a:off x="13239750" y="2933700"/>
        <a:ext cx="3076575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95250</xdr:colOff>
      <xdr:row>42</xdr:row>
      <xdr:rowOff>104775</xdr:rowOff>
    </xdr:from>
    <xdr:to>
      <xdr:col>36</xdr:col>
      <xdr:colOff>419100</xdr:colOff>
      <xdr:row>56</xdr:row>
      <xdr:rowOff>19050</xdr:rowOff>
    </xdr:to>
    <xdr:graphicFrame>
      <xdr:nvGraphicFramePr>
        <xdr:cNvPr id="7" name="Chart 8"/>
        <xdr:cNvGraphicFramePr/>
      </xdr:nvGraphicFramePr>
      <xdr:xfrm>
        <a:off x="13582650" y="6943725"/>
        <a:ext cx="33909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40</xdr:col>
      <xdr:colOff>276225</xdr:colOff>
      <xdr:row>12</xdr:row>
      <xdr:rowOff>152400</xdr:rowOff>
    </xdr:from>
    <xdr:to>
      <xdr:col>47</xdr:col>
      <xdr:colOff>200025</xdr:colOff>
      <xdr:row>23</xdr:row>
      <xdr:rowOff>66675</xdr:rowOff>
    </xdr:to>
    <xdr:graphicFrame>
      <xdr:nvGraphicFramePr>
        <xdr:cNvPr id="8" name="Chart 9"/>
        <xdr:cNvGraphicFramePr/>
      </xdr:nvGraphicFramePr>
      <xdr:xfrm>
        <a:off x="18583275" y="2133600"/>
        <a:ext cx="2990850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0.719</cdr:y>
    </cdr:from>
    <cdr:to>
      <cdr:x>0.963</cdr:x>
      <cdr:y>0.8285</cdr:y>
    </cdr:to>
    <cdr:sp>
      <cdr:nvSpPr>
        <cdr:cNvPr id="1" name="Текст 1"/>
        <cdr:cNvSpPr txBox="1">
          <a:spLocks noChangeArrowheads="1"/>
        </cdr:cNvSpPr>
      </cdr:nvSpPr>
      <cdr:spPr>
        <a:xfrm>
          <a:off x="2486025" y="137160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C(Ca), mM</a:t>
          </a:r>
        </a:p>
      </cdr:txBody>
    </cdr:sp>
  </cdr:relSizeAnchor>
  <cdr:relSizeAnchor xmlns:cdr="http://schemas.openxmlformats.org/drawingml/2006/chartDrawing">
    <cdr:from>
      <cdr:x>0.11175</cdr:x>
      <cdr:y>0.0105</cdr:y>
    </cdr:from>
    <cdr:to>
      <cdr:x>0.26775</cdr:x>
      <cdr:y>0.12</cdr:y>
    </cdr:to>
    <cdr:sp>
      <cdr:nvSpPr>
        <cdr:cNvPr id="2" name="Текст 2"/>
        <cdr:cNvSpPr txBox="1">
          <a:spLocks noChangeArrowheads="1"/>
        </cdr:cNvSpPr>
      </cdr:nvSpPr>
      <cdr:spPr>
        <a:xfrm>
          <a:off x="381000" y="190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Gm-Gt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9</xdr:row>
      <xdr:rowOff>104775</xdr:rowOff>
    </xdr:from>
    <xdr:to>
      <xdr:col>21</xdr:col>
      <xdr:colOff>66675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429375" y="1600200"/>
        <a:ext cx="34194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</cdr:x>
      <cdr:y>0.836</cdr:y>
    </cdr:from>
    <cdr:to>
      <cdr:x>0.8855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19175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0.692</cdr:y>
    </cdr:from>
    <cdr:to>
      <cdr:x>0.85825</cdr:x>
      <cdr:y>0.8115</cdr:y>
    </cdr:to>
    <cdr:sp>
      <cdr:nvSpPr>
        <cdr:cNvPr id="1" name="Текст 1"/>
        <cdr:cNvSpPr txBox="1">
          <a:spLocks noChangeArrowheads="1"/>
        </cdr:cNvSpPr>
      </cdr:nvSpPr>
      <cdr:spPr>
        <a:xfrm>
          <a:off x="990600" y="120967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Проводимость</a:t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0.58675</cdr:x>
      <cdr:y>0.1195</cdr:y>
    </cdr:to>
    <cdr:sp>
      <cdr:nvSpPr>
        <cdr:cNvPr id="2" name="Текст 2"/>
        <cdr:cNvSpPr txBox="1">
          <a:spLocks noChangeArrowheads="1"/>
        </cdr:cNvSpPr>
      </cdr:nvSpPr>
      <cdr:spPr>
        <a:xfrm>
          <a:off x="161925" y="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 инд.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0.836</cdr:y>
    </cdr:from>
    <cdr:to>
      <cdr:x>0.9115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0.16025</cdr:x>
      <cdr:y>0.1875</cdr:y>
    </cdr:from>
    <cdr:to>
      <cdr:x>0.65525</cdr:x>
      <cdr:y>0.348</cdr:y>
    </cdr:to>
    <cdr:sp>
      <cdr:nvSpPr>
        <cdr:cNvPr id="2" name="Текст 2"/>
        <cdr:cNvSpPr txBox="1">
          <a:spLocks noChangeArrowheads="1"/>
        </cdr:cNvSpPr>
      </cdr:nvSpPr>
      <cdr:spPr>
        <a:xfrm>
          <a:off x="295275" y="2381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0.836</cdr:y>
    </cdr:from>
    <cdr:to>
      <cdr:x>0.9115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0.16025</cdr:x>
      <cdr:y>0.1875</cdr:y>
    </cdr:from>
    <cdr:to>
      <cdr:x>0.5795</cdr:x>
      <cdr:y>0.348</cdr:y>
    </cdr:to>
    <cdr:sp>
      <cdr:nvSpPr>
        <cdr:cNvPr id="2" name="Текст 2"/>
        <cdr:cNvSpPr txBox="1">
          <a:spLocks noChangeArrowheads="1"/>
        </cdr:cNvSpPr>
      </cdr:nvSpPr>
      <cdr:spPr>
        <a:xfrm>
          <a:off x="295275" y="238125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0.836</cdr:y>
    </cdr:from>
    <cdr:to>
      <cdr:x>0.8005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3350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0.836</cdr:y>
    </cdr:from>
    <cdr:to>
      <cdr:x>0.81575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62075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cdr:txBody>
    </cdr:sp>
  </cdr:relSizeAnchor>
  <cdr:relSizeAnchor xmlns:cdr="http://schemas.openxmlformats.org/drawingml/2006/chartDrawing">
    <cdr:from>
      <cdr:x>0.1785</cdr:x>
      <cdr:y>0.10925</cdr:y>
    </cdr:from>
    <cdr:to>
      <cdr:x>0.6735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33375" y="13335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0.836</cdr:y>
    </cdr:from>
    <cdr:to>
      <cdr:x>0.8005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3350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0.836</cdr:y>
    </cdr:from>
    <cdr:to>
      <cdr:x>0.816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5255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cdr:txBody>
    </cdr:sp>
  </cdr:relSizeAnchor>
  <cdr:relSizeAnchor xmlns:cdr="http://schemas.openxmlformats.org/drawingml/2006/chartDrawing">
    <cdr:from>
      <cdr:x>0.1785</cdr:x>
      <cdr:y>0.10925</cdr:y>
    </cdr:from>
    <cdr:to>
      <cdr:x>0.676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33375" y="13335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0.65425</cdr:x>
      <cdr:y>0.75575</cdr:y>
    </cdr:from>
    <cdr:to>
      <cdr:x>0.95675</cdr:x>
      <cdr:y>0.8535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809750" y="1619250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 опр., мМ</a:t>
          </a:r>
        </a:p>
      </cdr:txBody>
    </cdr:sp>
  </cdr:relSizeAnchor>
  <cdr:relSizeAnchor xmlns:cdr="http://schemas.openxmlformats.org/drawingml/2006/chartDrawing">
    <cdr:from>
      <cdr:x>0.14975</cdr:x>
      <cdr:y>0.01375</cdr:y>
    </cdr:from>
    <cdr:to>
      <cdr:x>0.5105</cdr:x>
      <cdr:y>0.1115</cdr:y>
    </cdr:to>
    <cdr:sp>
      <cdr:nvSpPr>
        <cdr:cNvPr id="2" name="Текст 2"/>
        <cdr:cNvSpPr txBox="1">
          <a:spLocks noChangeArrowheads="1"/>
        </cdr:cNvSpPr>
      </cdr:nvSpPr>
      <cdr:spPr>
        <a:xfrm>
          <a:off x="409575" y="2857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 рассч., мМ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9</xdr:row>
      <xdr:rowOff>0</xdr:rowOff>
    </xdr:from>
    <xdr:to>
      <xdr:col>14</xdr:col>
      <xdr:colOff>428625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857875" y="1495425"/>
        <a:ext cx="2524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37</xdr:row>
      <xdr:rowOff>0</xdr:rowOff>
    </xdr:from>
    <xdr:to>
      <xdr:col>14</xdr:col>
      <xdr:colOff>190500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5619750" y="6029325"/>
        <a:ext cx="25241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23</xdr:row>
      <xdr:rowOff>38100</xdr:rowOff>
    </xdr:from>
    <xdr:to>
      <xdr:col>16</xdr:col>
      <xdr:colOff>304800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6619875" y="3800475"/>
        <a:ext cx="25146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66675</xdr:colOff>
      <xdr:row>51</xdr:row>
      <xdr:rowOff>66675</xdr:rowOff>
    </xdr:from>
    <xdr:to>
      <xdr:col>13</xdr:col>
      <xdr:colOff>390525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5391150" y="8362950"/>
        <a:ext cx="25146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428625</xdr:colOff>
      <xdr:row>65</xdr:row>
      <xdr:rowOff>38100</xdr:rowOff>
    </xdr:from>
    <xdr:to>
      <xdr:col>13</xdr:col>
      <xdr:colOff>314325</xdr:colOff>
      <xdr:row>77</xdr:row>
      <xdr:rowOff>133350</xdr:rowOff>
    </xdr:to>
    <xdr:graphicFrame>
      <xdr:nvGraphicFramePr>
        <xdr:cNvPr id="5" name="Chart 5"/>
        <xdr:cNvGraphicFramePr/>
      </xdr:nvGraphicFramePr>
      <xdr:xfrm>
        <a:off x="5314950" y="10601325"/>
        <a:ext cx="25146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79</xdr:row>
      <xdr:rowOff>123825</xdr:rowOff>
    </xdr:from>
    <xdr:to>
      <xdr:col>13</xdr:col>
      <xdr:colOff>276225</xdr:colOff>
      <xdr:row>92</xdr:row>
      <xdr:rowOff>57150</xdr:rowOff>
    </xdr:to>
    <xdr:graphicFrame>
      <xdr:nvGraphicFramePr>
        <xdr:cNvPr id="6" name="Chart 6"/>
        <xdr:cNvGraphicFramePr/>
      </xdr:nvGraphicFramePr>
      <xdr:xfrm>
        <a:off x="5267325" y="12954000"/>
        <a:ext cx="252412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333375</xdr:colOff>
      <xdr:row>94</xdr:row>
      <xdr:rowOff>0</xdr:rowOff>
    </xdr:from>
    <xdr:to>
      <xdr:col>13</xdr:col>
      <xdr:colOff>219075</xdr:colOff>
      <xdr:row>106</xdr:row>
      <xdr:rowOff>95250</xdr:rowOff>
    </xdr:to>
    <xdr:graphicFrame>
      <xdr:nvGraphicFramePr>
        <xdr:cNvPr id="7" name="Chart 7"/>
        <xdr:cNvGraphicFramePr/>
      </xdr:nvGraphicFramePr>
      <xdr:xfrm>
        <a:off x="5219700" y="15259050"/>
        <a:ext cx="25146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85725</xdr:colOff>
      <xdr:row>106</xdr:row>
      <xdr:rowOff>123825</xdr:rowOff>
    </xdr:from>
    <xdr:to>
      <xdr:col>17</xdr:col>
      <xdr:colOff>28575</xdr:colOff>
      <xdr:row>117</xdr:row>
      <xdr:rowOff>85725</xdr:rowOff>
    </xdr:to>
    <xdr:graphicFrame>
      <xdr:nvGraphicFramePr>
        <xdr:cNvPr id="8" name="Chart 8"/>
        <xdr:cNvGraphicFramePr/>
      </xdr:nvGraphicFramePr>
      <xdr:xfrm>
        <a:off x="7162800" y="17325975"/>
        <a:ext cx="2133600" cy="1743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428625</xdr:colOff>
      <xdr:row>118</xdr:row>
      <xdr:rowOff>123825</xdr:rowOff>
    </xdr:from>
    <xdr:to>
      <xdr:col>6</xdr:col>
      <xdr:colOff>123825</xdr:colOff>
      <xdr:row>126</xdr:row>
      <xdr:rowOff>133350</xdr:rowOff>
    </xdr:to>
    <xdr:graphicFrame>
      <xdr:nvGraphicFramePr>
        <xdr:cNvPr id="9" name="Chart 9"/>
        <xdr:cNvGraphicFramePr/>
      </xdr:nvGraphicFramePr>
      <xdr:xfrm>
        <a:off x="2686050" y="19269075"/>
        <a:ext cx="1885950" cy="1304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200025</xdr:colOff>
      <xdr:row>118</xdr:row>
      <xdr:rowOff>123825</xdr:rowOff>
    </xdr:from>
    <xdr:to>
      <xdr:col>10</xdr:col>
      <xdr:colOff>333375</xdr:colOff>
      <xdr:row>126</xdr:row>
      <xdr:rowOff>133350</xdr:rowOff>
    </xdr:to>
    <xdr:graphicFrame>
      <xdr:nvGraphicFramePr>
        <xdr:cNvPr id="10" name="Chart 10"/>
        <xdr:cNvGraphicFramePr/>
      </xdr:nvGraphicFramePr>
      <xdr:xfrm>
        <a:off x="4648200" y="19269075"/>
        <a:ext cx="1885950" cy="1304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28575</xdr:colOff>
      <xdr:row>118</xdr:row>
      <xdr:rowOff>142875</xdr:rowOff>
    </xdr:from>
    <xdr:to>
      <xdr:col>15</xdr:col>
      <xdr:colOff>161925</xdr:colOff>
      <xdr:row>126</xdr:row>
      <xdr:rowOff>152400</xdr:rowOff>
    </xdr:to>
    <xdr:graphicFrame>
      <xdr:nvGraphicFramePr>
        <xdr:cNvPr id="11" name="Chart 11"/>
        <xdr:cNvGraphicFramePr/>
      </xdr:nvGraphicFramePr>
      <xdr:xfrm>
        <a:off x="6667500" y="19288125"/>
        <a:ext cx="1885950" cy="1304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9525</xdr:colOff>
      <xdr:row>127</xdr:row>
      <xdr:rowOff>57150</xdr:rowOff>
    </xdr:from>
    <xdr:to>
      <xdr:col>6</xdr:col>
      <xdr:colOff>142875</xdr:colOff>
      <xdr:row>135</xdr:row>
      <xdr:rowOff>66675</xdr:rowOff>
    </xdr:to>
    <xdr:graphicFrame>
      <xdr:nvGraphicFramePr>
        <xdr:cNvPr id="12" name="Chart 12"/>
        <xdr:cNvGraphicFramePr/>
      </xdr:nvGraphicFramePr>
      <xdr:xfrm>
        <a:off x="2705100" y="20659725"/>
        <a:ext cx="1885950" cy="1304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247650</xdr:colOff>
      <xdr:row>127</xdr:row>
      <xdr:rowOff>57150</xdr:rowOff>
    </xdr:from>
    <xdr:to>
      <xdr:col>10</xdr:col>
      <xdr:colOff>381000</xdr:colOff>
      <xdr:row>135</xdr:row>
      <xdr:rowOff>66675</xdr:rowOff>
    </xdr:to>
    <xdr:graphicFrame>
      <xdr:nvGraphicFramePr>
        <xdr:cNvPr id="13" name="Chart 13"/>
        <xdr:cNvGraphicFramePr/>
      </xdr:nvGraphicFramePr>
      <xdr:xfrm>
        <a:off x="4695825" y="20659725"/>
        <a:ext cx="1885950" cy="1304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428625</xdr:colOff>
      <xdr:row>135</xdr:row>
      <xdr:rowOff>142875</xdr:rowOff>
    </xdr:from>
    <xdr:to>
      <xdr:col>6</xdr:col>
      <xdr:colOff>123825</xdr:colOff>
      <xdr:row>143</xdr:row>
      <xdr:rowOff>152400</xdr:rowOff>
    </xdr:to>
    <xdr:graphicFrame>
      <xdr:nvGraphicFramePr>
        <xdr:cNvPr id="14" name="Chart 14"/>
        <xdr:cNvGraphicFramePr/>
      </xdr:nvGraphicFramePr>
      <xdr:xfrm>
        <a:off x="2686050" y="22040850"/>
        <a:ext cx="1885950" cy="1304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266700</xdr:colOff>
      <xdr:row>135</xdr:row>
      <xdr:rowOff>142875</xdr:rowOff>
    </xdr:from>
    <xdr:to>
      <xdr:col>10</xdr:col>
      <xdr:colOff>390525</xdr:colOff>
      <xdr:row>143</xdr:row>
      <xdr:rowOff>152400</xdr:rowOff>
    </xdr:to>
    <xdr:graphicFrame>
      <xdr:nvGraphicFramePr>
        <xdr:cNvPr id="15" name="Chart 15"/>
        <xdr:cNvGraphicFramePr/>
      </xdr:nvGraphicFramePr>
      <xdr:xfrm>
        <a:off x="4714875" y="22040850"/>
        <a:ext cx="1876425" cy="1304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409575</xdr:colOff>
      <xdr:row>67</xdr:row>
      <xdr:rowOff>104775</xdr:rowOff>
    </xdr:from>
    <xdr:to>
      <xdr:col>21</xdr:col>
      <xdr:colOff>114300</xdr:colOff>
      <xdr:row>80</xdr:row>
      <xdr:rowOff>142875</xdr:rowOff>
    </xdr:to>
    <xdr:graphicFrame>
      <xdr:nvGraphicFramePr>
        <xdr:cNvPr id="16" name="Chart 17"/>
        <xdr:cNvGraphicFramePr/>
      </xdr:nvGraphicFramePr>
      <xdr:xfrm>
        <a:off x="8362950" y="10991850"/>
        <a:ext cx="2771775" cy="2143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</cdr:x>
      <cdr:y>0.836</cdr:y>
    </cdr:from>
    <cdr:to>
      <cdr:x>0.8855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19175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0.836</cdr:y>
    </cdr:from>
    <cdr:to>
      <cdr:x>0.9115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0.16025</cdr:x>
      <cdr:y>0.1875</cdr:y>
    </cdr:from>
    <cdr:to>
      <cdr:x>0.65525</cdr:x>
      <cdr:y>0.348</cdr:y>
    </cdr:to>
    <cdr:sp>
      <cdr:nvSpPr>
        <cdr:cNvPr id="2" name="Текст 2"/>
        <cdr:cNvSpPr txBox="1">
          <a:spLocks noChangeArrowheads="1"/>
        </cdr:cNvSpPr>
      </cdr:nvSpPr>
      <cdr:spPr>
        <a:xfrm>
          <a:off x="295275" y="2381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0.44175</cdr:x>
      <cdr:y>0.69075</cdr:y>
    </cdr:from>
    <cdr:to>
      <cdr:x>0.89775</cdr:x>
      <cdr:y>0.81175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47750" y="11906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Проводимость</a:t>
          </a:r>
        </a:p>
      </cdr:txBody>
    </cdr:sp>
  </cdr:relSizeAnchor>
  <cdr:relSizeAnchor xmlns:cdr="http://schemas.openxmlformats.org/drawingml/2006/chartDrawing">
    <cdr:from>
      <cdr:x>0.1195</cdr:x>
      <cdr:y>0.02875</cdr:y>
    </cdr:from>
    <cdr:to>
      <cdr:x>0.4555</cdr:x>
      <cdr:y>0.14975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76225" y="4762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0.836</cdr:y>
    </cdr:from>
    <cdr:to>
      <cdr:x>0.9115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0858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разница</a:t>
          </a:r>
        </a:p>
      </cdr:txBody>
    </cdr:sp>
  </cdr:relSizeAnchor>
  <cdr:relSizeAnchor xmlns:cdr="http://schemas.openxmlformats.org/drawingml/2006/chartDrawing">
    <cdr:from>
      <cdr:x>0.16025</cdr:x>
      <cdr:y>0.1875</cdr:y>
    </cdr:from>
    <cdr:to>
      <cdr:x>0.5795</cdr:x>
      <cdr:y>0.348</cdr:y>
    </cdr:to>
    <cdr:sp>
      <cdr:nvSpPr>
        <cdr:cNvPr id="2" name="Текст 2"/>
        <cdr:cNvSpPr txBox="1">
          <a:spLocks noChangeArrowheads="1"/>
        </cdr:cNvSpPr>
      </cdr:nvSpPr>
      <cdr:spPr>
        <a:xfrm>
          <a:off x="295275" y="238125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0.836</cdr:y>
    </cdr:from>
    <cdr:to>
      <cdr:x>0.8005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3350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0.836</cdr:y>
    </cdr:from>
    <cdr:to>
      <cdr:x>0.81575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62075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cdr:txBody>
    </cdr:sp>
  </cdr:relSizeAnchor>
  <cdr:relSizeAnchor xmlns:cdr="http://schemas.openxmlformats.org/drawingml/2006/chartDrawing">
    <cdr:from>
      <cdr:x>0.1785</cdr:x>
      <cdr:y>0.10925</cdr:y>
    </cdr:from>
    <cdr:to>
      <cdr:x>0.6735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33375" y="13335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0.836</cdr:y>
    </cdr:from>
    <cdr:to>
      <cdr:x>0.8005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3350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cdr:txBody>
    </cdr:sp>
  </cdr:relSizeAnchor>
  <cdr:relSizeAnchor xmlns:cdr="http://schemas.openxmlformats.org/drawingml/2006/chartDrawing">
    <cdr:from>
      <cdr:x>0.12525</cdr:x>
      <cdr:y>0.10925</cdr:y>
    </cdr:from>
    <cdr:to>
      <cdr:x>0.53425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28600" y="13335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цветность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0.836</cdr:y>
    </cdr:from>
    <cdr:to>
      <cdr:x>0.816</cdr:x>
      <cdr:y>0.9965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352550" y="108585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cdr:txBody>
    </cdr:sp>
  </cdr:relSizeAnchor>
  <cdr:relSizeAnchor xmlns:cdr="http://schemas.openxmlformats.org/drawingml/2006/chartDrawing">
    <cdr:from>
      <cdr:x>0.1785</cdr:x>
      <cdr:y>0.10925</cdr:y>
    </cdr:from>
    <cdr:to>
      <cdr:x>0.676</cdr:x>
      <cdr:y>0.26975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33375" y="13335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</cdr:x>
      <cdr:y>0.766</cdr:y>
    </cdr:from>
    <cdr:to>
      <cdr:x>0.93975</cdr:x>
      <cdr:y>0.86125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647825" y="167640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 рассч., мМ</a:t>
          </a:r>
        </a:p>
      </cdr:txBody>
    </cdr:sp>
  </cdr:relSizeAnchor>
  <cdr:relSizeAnchor xmlns:cdr="http://schemas.openxmlformats.org/drawingml/2006/chartDrawing">
    <cdr:from>
      <cdr:x>0.118</cdr:x>
      <cdr:y>0.0315</cdr:y>
    </cdr:from>
    <cdr:to>
      <cdr:x>0.41525</cdr:x>
      <cdr:y>0.12675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23850" y="66675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 опр., мМ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152400</xdr:rowOff>
    </xdr:from>
    <xdr:to>
      <xdr:col>13</xdr:col>
      <xdr:colOff>381000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381625" y="1485900"/>
        <a:ext cx="25146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35</xdr:row>
      <xdr:rowOff>57150</xdr:rowOff>
    </xdr:from>
    <xdr:to>
      <xdr:col>14</xdr:col>
      <xdr:colOff>190500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5619750" y="5762625"/>
        <a:ext cx="25241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23</xdr:row>
      <xdr:rowOff>38100</xdr:rowOff>
    </xdr:from>
    <xdr:to>
      <xdr:col>16</xdr:col>
      <xdr:colOff>304800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6619875" y="3800475"/>
        <a:ext cx="25146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66675</xdr:colOff>
      <xdr:row>51</xdr:row>
      <xdr:rowOff>66675</xdr:rowOff>
    </xdr:from>
    <xdr:to>
      <xdr:col>13</xdr:col>
      <xdr:colOff>390525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5391150" y="8362950"/>
        <a:ext cx="25146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428625</xdr:colOff>
      <xdr:row>65</xdr:row>
      <xdr:rowOff>38100</xdr:rowOff>
    </xdr:from>
    <xdr:to>
      <xdr:col>13</xdr:col>
      <xdr:colOff>314325</xdr:colOff>
      <xdr:row>77</xdr:row>
      <xdr:rowOff>133350</xdr:rowOff>
    </xdr:to>
    <xdr:graphicFrame>
      <xdr:nvGraphicFramePr>
        <xdr:cNvPr id="5" name="Chart 5"/>
        <xdr:cNvGraphicFramePr/>
      </xdr:nvGraphicFramePr>
      <xdr:xfrm>
        <a:off x="5314950" y="10601325"/>
        <a:ext cx="25146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79</xdr:row>
      <xdr:rowOff>123825</xdr:rowOff>
    </xdr:from>
    <xdr:to>
      <xdr:col>13</xdr:col>
      <xdr:colOff>276225</xdr:colOff>
      <xdr:row>92</xdr:row>
      <xdr:rowOff>57150</xdr:rowOff>
    </xdr:to>
    <xdr:graphicFrame>
      <xdr:nvGraphicFramePr>
        <xdr:cNvPr id="6" name="Chart 6"/>
        <xdr:cNvGraphicFramePr/>
      </xdr:nvGraphicFramePr>
      <xdr:xfrm>
        <a:off x="5267325" y="12954000"/>
        <a:ext cx="252412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85725</xdr:colOff>
      <xdr:row>106</xdr:row>
      <xdr:rowOff>123825</xdr:rowOff>
    </xdr:from>
    <xdr:to>
      <xdr:col>17</xdr:col>
      <xdr:colOff>28575</xdr:colOff>
      <xdr:row>117</xdr:row>
      <xdr:rowOff>85725</xdr:rowOff>
    </xdr:to>
    <xdr:graphicFrame>
      <xdr:nvGraphicFramePr>
        <xdr:cNvPr id="7" name="Chart 8"/>
        <xdr:cNvGraphicFramePr/>
      </xdr:nvGraphicFramePr>
      <xdr:xfrm>
        <a:off x="7162800" y="17325975"/>
        <a:ext cx="2133600" cy="1743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428625</xdr:colOff>
      <xdr:row>118</xdr:row>
      <xdr:rowOff>123825</xdr:rowOff>
    </xdr:from>
    <xdr:to>
      <xdr:col>6</xdr:col>
      <xdr:colOff>123825</xdr:colOff>
      <xdr:row>126</xdr:row>
      <xdr:rowOff>133350</xdr:rowOff>
    </xdr:to>
    <xdr:graphicFrame>
      <xdr:nvGraphicFramePr>
        <xdr:cNvPr id="8" name="Chart 9"/>
        <xdr:cNvGraphicFramePr/>
      </xdr:nvGraphicFramePr>
      <xdr:xfrm>
        <a:off x="2686050" y="19269075"/>
        <a:ext cx="1885950" cy="1304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200025</xdr:colOff>
      <xdr:row>118</xdr:row>
      <xdr:rowOff>123825</xdr:rowOff>
    </xdr:from>
    <xdr:to>
      <xdr:col>10</xdr:col>
      <xdr:colOff>333375</xdr:colOff>
      <xdr:row>126</xdr:row>
      <xdr:rowOff>133350</xdr:rowOff>
    </xdr:to>
    <xdr:graphicFrame>
      <xdr:nvGraphicFramePr>
        <xdr:cNvPr id="9" name="Chart 10"/>
        <xdr:cNvGraphicFramePr/>
      </xdr:nvGraphicFramePr>
      <xdr:xfrm>
        <a:off x="4648200" y="19269075"/>
        <a:ext cx="1885950" cy="1304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28575</xdr:colOff>
      <xdr:row>118</xdr:row>
      <xdr:rowOff>142875</xdr:rowOff>
    </xdr:from>
    <xdr:to>
      <xdr:col>15</xdr:col>
      <xdr:colOff>161925</xdr:colOff>
      <xdr:row>126</xdr:row>
      <xdr:rowOff>152400</xdr:rowOff>
    </xdr:to>
    <xdr:graphicFrame>
      <xdr:nvGraphicFramePr>
        <xdr:cNvPr id="10" name="Chart 11"/>
        <xdr:cNvGraphicFramePr/>
      </xdr:nvGraphicFramePr>
      <xdr:xfrm>
        <a:off x="6667500" y="19288125"/>
        <a:ext cx="1885950" cy="1304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</xdr:colOff>
      <xdr:row>127</xdr:row>
      <xdr:rowOff>57150</xdr:rowOff>
    </xdr:from>
    <xdr:to>
      <xdr:col>6</xdr:col>
      <xdr:colOff>142875</xdr:colOff>
      <xdr:row>135</xdr:row>
      <xdr:rowOff>66675</xdr:rowOff>
    </xdr:to>
    <xdr:graphicFrame>
      <xdr:nvGraphicFramePr>
        <xdr:cNvPr id="11" name="Chart 12"/>
        <xdr:cNvGraphicFramePr/>
      </xdr:nvGraphicFramePr>
      <xdr:xfrm>
        <a:off x="2705100" y="20659725"/>
        <a:ext cx="1885950" cy="1304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247650</xdr:colOff>
      <xdr:row>127</xdr:row>
      <xdr:rowOff>57150</xdr:rowOff>
    </xdr:from>
    <xdr:to>
      <xdr:col>10</xdr:col>
      <xdr:colOff>381000</xdr:colOff>
      <xdr:row>135</xdr:row>
      <xdr:rowOff>66675</xdr:rowOff>
    </xdr:to>
    <xdr:graphicFrame>
      <xdr:nvGraphicFramePr>
        <xdr:cNvPr id="12" name="Chart 13"/>
        <xdr:cNvGraphicFramePr/>
      </xdr:nvGraphicFramePr>
      <xdr:xfrm>
        <a:off x="4695825" y="20659725"/>
        <a:ext cx="1885950" cy="1304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428625</xdr:colOff>
      <xdr:row>135</xdr:row>
      <xdr:rowOff>142875</xdr:rowOff>
    </xdr:from>
    <xdr:to>
      <xdr:col>6</xdr:col>
      <xdr:colOff>123825</xdr:colOff>
      <xdr:row>143</xdr:row>
      <xdr:rowOff>152400</xdr:rowOff>
    </xdr:to>
    <xdr:graphicFrame>
      <xdr:nvGraphicFramePr>
        <xdr:cNvPr id="13" name="Chart 14"/>
        <xdr:cNvGraphicFramePr/>
      </xdr:nvGraphicFramePr>
      <xdr:xfrm>
        <a:off x="2686050" y="22040850"/>
        <a:ext cx="1885950" cy="1304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266700</xdr:colOff>
      <xdr:row>135</xdr:row>
      <xdr:rowOff>142875</xdr:rowOff>
    </xdr:from>
    <xdr:to>
      <xdr:col>10</xdr:col>
      <xdr:colOff>390525</xdr:colOff>
      <xdr:row>143</xdr:row>
      <xdr:rowOff>152400</xdr:rowOff>
    </xdr:to>
    <xdr:graphicFrame>
      <xdr:nvGraphicFramePr>
        <xdr:cNvPr id="14" name="Chart 15"/>
        <xdr:cNvGraphicFramePr/>
      </xdr:nvGraphicFramePr>
      <xdr:xfrm>
        <a:off x="4714875" y="22040850"/>
        <a:ext cx="1876425" cy="1304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276225</xdr:colOff>
      <xdr:row>37</xdr:row>
      <xdr:rowOff>0</xdr:rowOff>
    </xdr:from>
    <xdr:to>
      <xdr:col>21</xdr:col>
      <xdr:colOff>266700</xdr:colOff>
      <xdr:row>49</xdr:row>
      <xdr:rowOff>95250</xdr:rowOff>
    </xdr:to>
    <xdr:graphicFrame>
      <xdr:nvGraphicFramePr>
        <xdr:cNvPr id="15" name="Chart 16"/>
        <xdr:cNvGraphicFramePr/>
      </xdr:nvGraphicFramePr>
      <xdr:xfrm>
        <a:off x="8229600" y="6029325"/>
        <a:ext cx="3057525" cy="2038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28575</xdr:colOff>
      <xdr:row>76</xdr:row>
      <xdr:rowOff>9525</xdr:rowOff>
    </xdr:from>
    <xdr:to>
      <xdr:col>20</xdr:col>
      <xdr:colOff>219075</xdr:colOff>
      <xdr:row>89</xdr:row>
      <xdr:rowOff>104775</xdr:rowOff>
    </xdr:to>
    <xdr:graphicFrame>
      <xdr:nvGraphicFramePr>
        <xdr:cNvPr id="16" name="Chart 17"/>
        <xdr:cNvGraphicFramePr/>
      </xdr:nvGraphicFramePr>
      <xdr:xfrm>
        <a:off x="7981950" y="12353925"/>
        <a:ext cx="2819400" cy="2200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-0.00675</cdr:y>
    </cdr:from>
    <cdr:to>
      <cdr:x>0.13375</cdr:x>
      <cdr:y>0.06925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238125" y="-9524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pCa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0.2275</cdr:y>
    </cdr:from>
    <cdr:to>
      <cdr:x>0.95325</cdr:x>
      <cdr:y>0.531</cdr:y>
    </cdr:to>
    <cdr:sp>
      <cdr:nvSpPr>
        <cdr:cNvPr id="1" name="Текст 1"/>
        <cdr:cNvSpPr txBox="1">
          <a:spLocks noChangeArrowheads="1"/>
        </cdr:cNvSpPr>
      </cdr:nvSpPr>
      <cdr:spPr>
        <a:xfrm>
          <a:off x="4086225" y="619125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Температура</a:t>
          </a:r>
        </a:p>
      </cdr:txBody>
    </cdr:sp>
  </cdr:relSizeAnchor>
  <cdr:relSizeAnchor xmlns:cdr="http://schemas.openxmlformats.org/drawingml/2006/chartDrawing">
    <cdr:from>
      <cdr:x>0.001</cdr:x>
      <cdr:y>0.13175</cdr:y>
    </cdr:from>
    <cdr:to>
      <cdr:x>0.0515</cdr:x>
      <cdr:y>0.349</cdr:y>
    </cdr:to>
    <cdr:sp>
      <cdr:nvSpPr>
        <cdr:cNvPr id="2" name="Текст 2"/>
        <cdr:cNvSpPr txBox="1">
          <a:spLocks noChangeArrowheads="1"/>
        </cdr:cNvSpPr>
      </cdr:nvSpPr>
      <cdr:spPr>
        <a:xfrm>
          <a:off x="0" y="361950"/>
          <a:ext cx="2286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С(Са), М</a:t>
          </a:r>
        </a:p>
      </cdr:txBody>
    </cdr:sp>
  </cdr:relSizeAnchor>
  <cdr:relSizeAnchor xmlns:cdr="http://schemas.openxmlformats.org/drawingml/2006/chartDrawing">
    <cdr:from>
      <cdr:x>0.8795</cdr:x>
      <cdr:y>0.01425</cdr:y>
    </cdr:from>
    <cdr:to>
      <cdr:x>0.91725</cdr:x>
      <cdr:y>0.09</cdr:y>
    </cdr:to>
    <cdr:sp>
      <cdr:nvSpPr>
        <cdr:cNvPr id="3" name="Текст 3"/>
        <cdr:cNvSpPr txBox="1">
          <a:spLocks noChangeArrowheads="1"/>
        </cdr:cNvSpPr>
      </cdr:nvSpPr>
      <cdr:spPr>
        <a:xfrm>
          <a:off x="3981450" y="3810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Е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19</xdr:row>
      <xdr:rowOff>19050</xdr:rowOff>
    </xdr:from>
    <xdr:to>
      <xdr:col>15</xdr:col>
      <xdr:colOff>352425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419600" y="3133725"/>
        <a:ext cx="4371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</xdr:row>
      <xdr:rowOff>133350</xdr:rowOff>
    </xdr:from>
    <xdr:to>
      <xdr:col>15</xdr:col>
      <xdr:colOff>361950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4267200" y="295275"/>
        <a:ext cx="45339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0.4275</cdr:x>
      <cdr:y>0.68125</cdr:y>
    </cdr:from>
    <cdr:to>
      <cdr:x>1</cdr:x>
      <cdr:y>0.8115</cdr:y>
    </cdr:to>
    <cdr:sp>
      <cdr:nvSpPr>
        <cdr:cNvPr id="1" name="Текст 1"/>
        <cdr:cNvSpPr txBox="1">
          <a:spLocks noChangeArrowheads="1"/>
        </cdr:cNvSpPr>
      </cdr:nvSpPr>
      <cdr:spPr>
        <a:xfrm>
          <a:off x="876300" y="1095375"/>
          <a:ext cx="1266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 инд.</a:t>
          </a:r>
        </a:p>
      </cdr:txBody>
    </cdr:sp>
  </cdr:relSizeAnchor>
  <cdr:relSizeAnchor xmlns:cdr="http://schemas.openxmlformats.org/drawingml/2006/chartDrawing">
    <cdr:from>
      <cdr:x>0.164</cdr:x>
      <cdr:y>-0.0375</cdr:y>
    </cdr:from>
    <cdr:to>
      <cdr:x>0.553</cdr:x>
      <cdr:y>0.09275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33375" y="-57149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-0.01475</cdr:y>
    </cdr:from>
    <cdr:to>
      <cdr:x>0.1325</cdr:x>
      <cdr:y>0.05575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238125" y="-38099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pF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0.01875</cdr:y>
    </cdr:from>
    <cdr:to>
      <cdr:x>0.05875</cdr:x>
      <cdr:y>0.205</cdr:y>
    </cdr:to>
    <cdr:sp>
      <cdr:nvSpPr>
        <cdr:cNvPr id="1" name="Текст 1"/>
        <cdr:cNvSpPr txBox="1">
          <a:spLocks noChangeArrowheads="1"/>
        </cdr:cNvSpPr>
      </cdr:nvSpPr>
      <cdr:spPr>
        <a:xfrm>
          <a:off x="0" y="47625"/>
          <a:ext cx="228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С(F), М</a:t>
          </a:r>
        </a:p>
      </cdr:txBody>
    </cdr:sp>
  </cdr:relSizeAnchor>
  <cdr:relSizeAnchor xmlns:cdr="http://schemas.openxmlformats.org/drawingml/2006/chartDrawing">
    <cdr:from>
      <cdr:x>0.894</cdr:x>
      <cdr:y>0.29175</cdr:y>
    </cdr:from>
    <cdr:to>
      <cdr:x>0.95175</cdr:x>
      <cdr:y>0.59525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533775" y="80010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Температура</a:t>
          </a:r>
        </a:p>
      </cdr:txBody>
    </cdr:sp>
  </cdr:relSizeAnchor>
  <cdr:relSizeAnchor xmlns:cdr="http://schemas.openxmlformats.org/drawingml/2006/chartDrawing">
    <cdr:from>
      <cdr:x>0.875</cdr:x>
      <cdr:y>0.01425</cdr:y>
    </cdr:from>
    <cdr:to>
      <cdr:x>0.92075</cdr:x>
      <cdr:y>0.09</cdr:y>
    </cdr:to>
    <cdr:sp>
      <cdr:nvSpPr>
        <cdr:cNvPr id="3" name="Текст 3"/>
        <cdr:cNvSpPr txBox="1">
          <a:spLocks noChangeArrowheads="1"/>
        </cdr:cNvSpPr>
      </cdr:nvSpPr>
      <cdr:spPr>
        <a:xfrm>
          <a:off x="3457575" y="38100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E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20</xdr:row>
      <xdr:rowOff>95250</xdr:rowOff>
    </xdr:from>
    <xdr:to>
      <xdr:col>16</xdr:col>
      <xdr:colOff>104775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4429125" y="3371850"/>
        <a:ext cx="3771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</xdr:row>
      <xdr:rowOff>85725</xdr:rowOff>
    </xdr:from>
    <xdr:to>
      <xdr:col>16</xdr:col>
      <xdr:colOff>161925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4305300" y="409575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39</xdr:row>
      <xdr:rowOff>114300</xdr:rowOff>
    </xdr:from>
    <xdr:to>
      <xdr:col>15</xdr:col>
      <xdr:colOff>581025</xdr:colOff>
      <xdr:row>56</xdr:row>
      <xdr:rowOff>38100</xdr:rowOff>
    </xdr:to>
    <xdr:graphicFrame>
      <xdr:nvGraphicFramePr>
        <xdr:cNvPr id="3" name="Chart 3"/>
        <xdr:cNvGraphicFramePr/>
      </xdr:nvGraphicFramePr>
      <xdr:xfrm>
        <a:off x="3943350" y="6467475"/>
        <a:ext cx="40481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276225</xdr:colOff>
      <xdr:row>55</xdr:row>
      <xdr:rowOff>133350</xdr:rowOff>
    </xdr:from>
    <xdr:to>
      <xdr:col>16</xdr:col>
      <xdr:colOff>628650</xdr:colOff>
      <xdr:row>67</xdr:row>
      <xdr:rowOff>104775</xdr:rowOff>
    </xdr:to>
    <xdr:graphicFrame>
      <xdr:nvGraphicFramePr>
        <xdr:cNvPr id="4" name="Chart 5"/>
        <xdr:cNvGraphicFramePr/>
      </xdr:nvGraphicFramePr>
      <xdr:xfrm>
        <a:off x="6315075" y="9077325"/>
        <a:ext cx="240982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104775</xdr:colOff>
      <xdr:row>52</xdr:row>
      <xdr:rowOff>0</xdr:rowOff>
    </xdr:from>
    <xdr:to>
      <xdr:col>22</xdr:col>
      <xdr:colOff>161925</xdr:colOff>
      <xdr:row>63</xdr:row>
      <xdr:rowOff>133350</xdr:rowOff>
    </xdr:to>
    <xdr:graphicFrame>
      <xdr:nvGraphicFramePr>
        <xdr:cNvPr id="5" name="Chart 6"/>
        <xdr:cNvGraphicFramePr/>
      </xdr:nvGraphicFramePr>
      <xdr:xfrm>
        <a:off x="8886825" y="8458200"/>
        <a:ext cx="34861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-0.01525</cdr:y>
    </cdr:from>
    <cdr:to>
      <cdr:x>0.1375</cdr:x>
      <cdr:y>0.06075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238125" y="-38099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pNO3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0.01875</cdr:y>
    </cdr:from>
    <cdr:to>
      <cdr:x>0.0535</cdr:x>
      <cdr:y>0.26025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0" y="47625"/>
          <a:ext cx="2476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C(NO</a:t>
          </a:r>
          <a:r>
            <a:rPr lang="en-US" cap="none" sz="1000" b="1" i="0" u="none" baseline="-25000">
              <a:latin typeface="Arial Cyr"/>
              <a:ea typeface="Arial Cyr"/>
              <a:cs typeface="Arial Cyr"/>
            </a:rPr>
            <a:t>3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), М</a:t>
          </a:r>
        </a:p>
      </cdr:txBody>
    </cdr:sp>
  </cdr:relSizeAnchor>
  <cdr:relSizeAnchor xmlns:cdr="http://schemas.openxmlformats.org/drawingml/2006/chartDrawing">
    <cdr:from>
      <cdr:x>0.9</cdr:x>
      <cdr:y>0.29175</cdr:y>
    </cdr:from>
    <cdr:to>
      <cdr:x>0.9485</cdr:x>
      <cdr:y>0.59525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4238625" y="80010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Температура</a:t>
          </a:r>
        </a:p>
      </cdr:txBody>
    </cdr:sp>
  </cdr:relSizeAnchor>
  <cdr:relSizeAnchor xmlns:cdr="http://schemas.openxmlformats.org/drawingml/2006/chartDrawing">
    <cdr:from>
      <cdr:x>0.882</cdr:x>
      <cdr:y>0.01425</cdr:y>
    </cdr:from>
    <cdr:to>
      <cdr:x>0.91825</cdr:x>
      <cdr:y>0.09</cdr:y>
    </cdr:to>
    <cdr:sp>
      <cdr:nvSpPr>
        <cdr:cNvPr id="3" name="Текст 3"/>
        <cdr:cNvSpPr txBox="1">
          <a:spLocks noChangeArrowheads="1"/>
        </cdr:cNvSpPr>
      </cdr:nvSpPr>
      <cdr:spPr>
        <a:xfrm>
          <a:off x="4152900" y="38100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E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0.0705</cdr:y>
    </cdr:from>
    <cdr:to>
      <cdr:x>0.239</cdr:x>
      <cdr:y>0.15375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371475" y="171450"/>
          <a:ext cx="44767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pNO3</a:t>
          </a:r>
        </a:p>
      </cdr:txBody>
    </cdr:sp>
  </cdr:relSizeAnchor>
  <cdr:relSizeAnchor xmlns:cdr="http://schemas.openxmlformats.org/drawingml/2006/chartDrawing">
    <cdr:from>
      <cdr:x>0.267</cdr:x>
      <cdr:y>0.918</cdr:y>
    </cdr:from>
    <cdr:to>
      <cdr:x>0.8225</cdr:x>
      <cdr:y>1</cdr:y>
    </cdr:to>
    <cdr:sp>
      <cdr:nvSpPr>
        <cdr:cNvPr id="2" name="Текст 2"/>
        <cdr:cNvSpPr txBox="1">
          <a:spLocks noChangeArrowheads="1"/>
        </cdr:cNvSpPr>
      </cdr:nvSpPr>
      <cdr:spPr>
        <a:xfrm>
          <a:off x="914400" y="2305050"/>
          <a:ext cx="1905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показания иономера, мВ</a:t>
          </a:r>
        </a:p>
      </cdr:txBody>
    </cdr:sp>
  </cdr:relSizeAnchor>
  <cdr:relSizeAnchor xmlns:cdr="http://schemas.openxmlformats.org/drawingml/2006/chartDrawing">
    <cdr:from>
      <cdr:x>0.73575</cdr:x>
      <cdr:y>0.23775</cdr:y>
    </cdr:from>
    <cdr:to>
      <cdr:x>0.73575</cdr:x>
      <cdr:y>0.8195</cdr:y>
    </cdr:to>
    <cdr:sp>
      <cdr:nvSpPr>
        <cdr:cNvPr id="3" name="Line 3"/>
        <cdr:cNvSpPr>
          <a:spLocks/>
        </cdr:cNvSpPr>
      </cdr:nvSpPr>
      <cdr:spPr>
        <a:xfrm flipV="1">
          <a:off x="2514600" y="590550"/>
          <a:ext cx="0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0.23775</cdr:y>
    </cdr:from>
    <cdr:to>
      <cdr:x>0.734</cdr:x>
      <cdr:y>0.23775</cdr:y>
    </cdr:to>
    <cdr:sp>
      <cdr:nvSpPr>
        <cdr:cNvPr id="4" name="Line 4"/>
        <cdr:cNvSpPr>
          <a:spLocks/>
        </cdr:cNvSpPr>
      </cdr:nvSpPr>
      <cdr:spPr>
        <a:xfrm flipH="1" flipV="1">
          <a:off x="352425" y="590550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-0.01525</cdr:y>
    </cdr:from>
    <cdr:to>
      <cdr:x>0.138</cdr:x>
      <cdr:y>0.06075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238125" y="-38099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pNO3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18</xdr:row>
      <xdr:rowOff>114300</xdr:rowOff>
    </xdr:from>
    <xdr:to>
      <xdr:col>15</xdr:col>
      <xdr:colOff>171450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3324225" y="3067050"/>
        <a:ext cx="5010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1</xdr:row>
      <xdr:rowOff>47625</xdr:rowOff>
    </xdr:from>
    <xdr:to>
      <xdr:col>15</xdr:col>
      <xdr:colOff>333375</xdr:colOff>
      <xdr:row>18</xdr:row>
      <xdr:rowOff>19050</xdr:rowOff>
    </xdr:to>
    <xdr:graphicFrame>
      <xdr:nvGraphicFramePr>
        <xdr:cNvPr id="2" name="Chart 3"/>
        <xdr:cNvGraphicFramePr/>
      </xdr:nvGraphicFramePr>
      <xdr:xfrm>
        <a:off x="3781425" y="209550"/>
        <a:ext cx="4714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342900</xdr:colOff>
      <xdr:row>15</xdr:row>
      <xdr:rowOff>152400</xdr:rowOff>
    </xdr:from>
    <xdr:to>
      <xdr:col>20</xdr:col>
      <xdr:colOff>342900</xdr:colOff>
      <xdr:row>31</xdr:row>
      <xdr:rowOff>76200</xdr:rowOff>
    </xdr:to>
    <xdr:graphicFrame>
      <xdr:nvGraphicFramePr>
        <xdr:cNvPr id="3" name="Chart 4"/>
        <xdr:cNvGraphicFramePr/>
      </xdr:nvGraphicFramePr>
      <xdr:xfrm>
        <a:off x="8505825" y="2619375"/>
        <a:ext cx="34290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36</xdr:row>
      <xdr:rowOff>28575</xdr:rowOff>
    </xdr:from>
    <xdr:to>
      <xdr:col>16</xdr:col>
      <xdr:colOff>238125</xdr:colOff>
      <xdr:row>53</xdr:row>
      <xdr:rowOff>28575</xdr:rowOff>
    </xdr:to>
    <xdr:graphicFrame>
      <xdr:nvGraphicFramePr>
        <xdr:cNvPr id="4" name="Chart 5"/>
        <xdr:cNvGraphicFramePr/>
      </xdr:nvGraphicFramePr>
      <xdr:xfrm>
        <a:off x="4095750" y="5895975"/>
        <a:ext cx="4991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25</xdr:row>
      <xdr:rowOff>66675</xdr:rowOff>
    </xdr:from>
    <xdr:to>
      <xdr:col>5</xdr:col>
      <xdr:colOff>142875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714375" y="4152900"/>
        <a:ext cx="25050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25</xdr:row>
      <xdr:rowOff>57150</xdr:rowOff>
    </xdr:from>
    <xdr:to>
      <xdr:col>11</xdr:col>
      <xdr:colOff>419100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3238500" y="4143375"/>
        <a:ext cx="28860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0.669</cdr:y>
    </cdr:from>
    <cdr:to>
      <cdr:x>0.99325</cdr:x>
      <cdr:y>0.79925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704850" y="107632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 конд.</a:t>
          </a:r>
        </a:p>
      </cdr:txBody>
    </cdr:sp>
  </cdr:relSizeAnchor>
  <cdr:relSizeAnchor xmlns:cdr="http://schemas.openxmlformats.org/drawingml/2006/chartDrawing">
    <cdr:from>
      <cdr:x>0.1785</cdr:x>
      <cdr:y>0.05</cdr:y>
    </cdr:from>
    <cdr:to>
      <cdr:x>0.57025</cdr:x>
      <cdr:y>0.18025</cdr:y>
    </cdr:to>
    <cdr:sp>
      <cdr:nvSpPr>
        <cdr:cNvPr id="2" name="Текст 2"/>
        <cdr:cNvSpPr txBox="1">
          <a:spLocks noChangeArrowheads="1"/>
        </cdr:cNvSpPr>
      </cdr:nvSpPr>
      <cdr:spPr>
        <a:xfrm>
          <a:off x="361950" y="762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0.4595</cdr:x>
      <cdr:y>-0.01375</cdr:y>
    </cdr:from>
    <cdr:to>
      <cdr:x>0.8005</cdr:x>
      <cdr:y>0.12825</cdr:y>
    </cdr:to>
    <cdr:sp>
      <cdr:nvSpPr>
        <cdr:cNvPr id="1" name="Текст 1"/>
        <cdr:cNvSpPr txBox="1">
          <a:spLocks noChangeArrowheads="1"/>
        </cdr:cNvSpPr>
      </cdr:nvSpPr>
      <cdr:spPr>
        <a:xfrm>
          <a:off x="933450" y="-19049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Хлориды</a:t>
          </a:r>
        </a:p>
      </cdr:txBody>
    </cdr:sp>
  </cdr:relSizeAnchor>
  <cdr:relSizeAnchor xmlns:cdr="http://schemas.openxmlformats.org/drawingml/2006/chartDrawing">
    <cdr:from>
      <cdr:x>0.76025</cdr:x>
      <cdr:y>0.671</cdr:y>
    </cdr:from>
    <cdr:to>
      <cdr:x>0.9285</cdr:x>
      <cdr:y>0.813</cdr:y>
    </cdr:to>
    <cdr:sp>
      <cdr:nvSpPr>
        <cdr:cNvPr id="2" name="Текст 2"/>
        <cdr:cNvSpPr txBox="1">
          <a:spLocks noChangeArrowheads="1"/>
        </cdr:cNvSpPr>
      </cdr:nvSpPr>
      <cdr:spPr>
        <a:xfrm>
          <a:off x="1543050" y="9906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</a:t>
          </a:r>
        </a:p>
      </cdr:txBody>
    </cdr:sp>
  </cdr:relSizeAnchor>
  <cdr:relSizeAnchor xmlns:cdr="http://schemas.openxmlformats.org/drawingml/2006/chartDrawing">
    <cdr:from>
      <cdr:x>0.15325</cdr:x>
      <cdr:y>0.10275</cdr:y>
    </cdr:from>
    <cdr:to>
      <cdr:x>0.35875</cdr:x>
      <cdr:y>0.24475</cdr:y>
    </cdr:to>
    <cdr:sp>
      <cdr:nvSpPr>
        <cdr:cNvPr id="3" name="Текст 3"/>
        <cdr:cNvSpPr txBox="1">
          <a:spLocks noChangeArrowheads="1"/>
        </cdr:cNvSpPr>
      </cdr:nvSpPr>
      <cdr:spPr>
        <a:xfrm>
          <a:off x="304800" y="142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конд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0.692</cdr:y>
    </cdr:from>
    <cdr:to>
      <cdr:x>0.9775</cdr:x>
      <cdr:y>0.8115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85850" y="12096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Проводимость 25</a:t>
          </a:r>
        </a:p>
      </cdr:txBody>
    </cdr:sp>
  </cdr:relSizeAnchor>
  <cdr:relSizeAnchor xmlns:cdr="http://schemas.openxmlformats.org/drawingml/2006/chartDrawing">
    <cdr:from>
      <cdr:x>0.10775</cdr:x>
      <cdr:y>0</cdr:y>
    </cdr:from>
    <cdr:to>
      <cdr:x>0.6255</cdr:x>
      <cdr:y>0.1195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57175" y="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Щелочность инд.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0.69075</cdr:y>
    </cdr:from>
    <cdr:to>
      <cdr:x>0.991</cdr:x>
      <cdr:y>0.81175</cdr:y>
    </cdr:to>
    <cdr:sp>
      <cdr:nvSpPr>
        <cdr:cNvPr id="1" name="Текст 1"/>
        <cdr:cNvSpPr txBox="1">
          <a:spLocks noChangeArrowheads="1"/>
        </cdr:cNvSpPr>
      </cdr:nvSpPr>
      <cdr:spPr>
        <a:xfrm>
          <a:off x="1066800" y="1190625"/>
          <a:ext cx="1295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Проводимость 25</a:t>
          </a:r>
        </a:p>
      </cdr:txBody>
    </cdr:sp>
  </cdr:relSizeAnchor>
  <cdr:relSizeAnchor xmlns:cdr="http://schemas.openxmlformats.org/drawingml/2006/chartDrawing">
    <cdr:from>
      <cdr:x>0.1195</cdr:x>
      <cdr:y>0.02875</cdr:y>
    </cdr:from>
    <cdr:to>
      <cdr:x>0.45425</cdr:x>
      <cdr:y>0.14975</cdr:y>
    </cdr:to>
    <cdr:sp>
      <cdr:nvSpPr>
        <cdr:cNvPr id="2" name="Текст 2"/>
        <cdr:cNvSpPr txBox="1">
          <a:spLocks noChangeArrowheads="1"/>
        </cdr:cNvSpPr>
      </cdr:nvSpPr>
      <cdr:spPr>
        <a:xfrm>
          <a:off x="276225" y="4762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Жесткость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3"/>
  <sheetViews>
    <sheetView tabSelected="1" workbookViewId="0" topLeftCell="A11">
      <pane xSplit="1" ySplit="1" topLeftCell="B12" activePane="bottomRight" state="frozen"/>
      <selection pane="topLeft" activeCell="A11" sqref="A11"/>
      <selection pane="topRight" activeCell="B11" sqref="B11"/>
      <selection pane="bottomLeft" activeCell="A12" sqref="A12"/>
      <selection pane="bottomRight" activeCell="L13" sqref="L13"/>
    </sheetView>
  </sheetViews>
  <sheetFormatPr defaultColWidth="9.00390625" defaultRowHeight="12.75"/>
  <cols>
    <col min="1" max="1" width="24.875" style="0" customWidth="1"/>
    <col min="2" max="12" width="5.75390625" style="0" customWidth="1"/>
    <col min="14" max="16384" width="5.75390625" style="0" customWidth="1"/>
  </cols>
  <sheetData>
    <row r="2" spans="1:13" s="1" customFormat="1" ht="15.75">
      <c r="A2" s="1" t="s">
        <v>0</v>
      </c>
      <c r="M2"/>
    </row>
    <row r="3" spans="1:13" s="1" customFormat="1" ht="15.75">
      <c r="A3" s="1" t="s">
        <v>1</v>
      </c>
      <c r="M3"/>
    </row>
    <row r="5" spans="1:3" ht="12.75">
      <c r="A5" t="s">
        <v>2</v>
      </c>
      <c r="B5">
        <v>100</v>
      </c>
      <c r="C5" t="s">
        <v>3</v>
      </c>
    </row>
    <row r="6" spans="1:3" ht="12.75">
      <c r="A6" t="s">
        <v>4</v>
      </c>
      <c r="B6">
        <v>0.05</v>
      </c>
      <c r="C6" t="s">
        <v>5</v>
      </c>
    </row>
    <row r="7" spans="1:17" ht="12.75">
      <c r="A7" t="s">
        <v>6</v>
      </c>
      <c r="B7">
        <v>0.025</v>
      </c>
      <c r="C7" t="s">
        <v>5</v>
      </c>
      <c r="H7">
        <v>7</v>
      </c>
      <c r="J7">
        <v>5</v>
      </c>
      <c r="N7">
        <v>24</v>
      </c>
      <c r="O7">
        <v>10</v>
      </c>
      <c r="P7" t="s">
        <v>7</v>
      </c>
      <c r="Q7" t="s">
        <v>8</v>
      </c>
    </row>
    <row r="8" spans="1:3" ht="12.75">
      <c r="A8" t="s">
        <v>9</v>
      </c>
      <c r="B8">
        <v>0.011</v>
      </c>
      <c r="C8" t="s">
        <v>5</v>
      </c>
    </row>
    <row r="9" spans="1:3" ht="12.75">
      <c r="A9" t="s">
        <v>10</v>
      </c>
      <c r="B9">
        <v>0.02</v>
      </c>
      <c r="C9" t="s">
        <v>5</v>
      </c>
    </row>
    <row r="11" spans="1:12" ht="12.75">
      <c r="A11" t="s">
        <v>11</v>
      </c>
      <c r="B11">
        <v>1</v>
      </c>
      <c r="C11">
        <v>2</v>
      </c>
      <c r="D11">
        <v>5</v>
      </c>
      <c r="E11">
        <v>7</v>
      </c>
      <c r="F11">
        <v>10</v>
      </c>
      <c r="G11">
        <v>11</v>
      </c>
      <c r="H11">
        <v>24</v>
      </c>
      <c r="I11" t="s">
        <v>12</v>
      </c>
      <c r="J11" t="s">
        <v>7</v>
      </c>
      <c r="K11" t="s">
        <v>13</v>
      </c>
      <c r="L11" t="s">
        <v>8</v>
      </c>
    </row>
    <row r="12" spans="1:12" ht="12.75">
      <c r="A12" t="s">
        <v>14</v>
      </c>
      <c r="B12" s="2">
        <v>37813</v>
      </c>
      <c r="C12" s="2">
        <v>37813</v>
      </c>
      <c r="D12" s="2">
        <v>37815</v>
      </c>
      <c r="E12" s="2">
        <v>37817</v>
      </c>
      <c r="F12" s="2">
        <v>37815</v>
      </c>
      <c r="G12" s="2">
        <v>37815</v>
      </c>
      <c r="H12" s="2">
        <v>37818</v>
      </c>
      <c r="I12" s="2">
        <v>37813</v>
      </c>
      <c r="J12" s="2">
        <v>37816</v>
      </c>
      <c r="K12" s="2">
        <v>37814</v>
      </c>
      <c r="L12" s="2">
        <v>37816</v>
      </c>
    </row>
    <row r="13" spans="1:12" ht="12.75">
      <c r="A13" t="s">
        <v>15</v>
      </c>
      <c r="B13" s="11">
        <v>18</v>
      </c>
      <c r="C13">
        <v>16.2</v>
      </c>
      <c r="D13">
        <v>17.4</v>
      </c>
      <c r="E13">
        <v>25</v>
      </c>
      <c r="F13">
        <v>22.5</v>
      </c>
      <c r="G13">
        <v>20.9</v>
      </c>
      <c r="H13">
        <v>26</v>
      </c>
      <c r="I13">
        <v>17.5</v>
      </c>
      <c r="J13">
        <v>18</v>
      </c>
      <c r="K13">
        <v>14</v>
      </c>
      <c r="L13" s="11">
        <v>18</v>
      </c>
    </row>
    <row r="14" spans="1:12" ht="12.75">
      <c r="A14" t="s">
        <v>16</v>
      </c>
      <c r="B14">
        <v>152</v>
      </c>
      <c r="C14">
        <v>128</v>
      </c>
      <c r="D14">
        <v>88</v>
      </c>
      <c r="E14">
        <v>180</v>
      </c>
      <c r="F14">
        <v>88</v>
      </c>
      <c r="G14">
        <v>108</v>
      </c>
      <c r="H14">
        <v>76</v>
      </c>
      <c r="I14">
        <v>350</v>
      </c>
      <c r="J14">
        <v>536</v>
      </c>
      <c r="K14">
        <v>197</v>
      </c>
      <c r="L14">
        <v>153</v>
      </c>
    </row>
    <row r="15" spans="1:12" ht="12.75">
      <c r="A15" t="s">
        <v>17</v>
      </c>
      <c r="B15" s="3">
        <f>B14/(1-(25-B13)*'G(T)'!$B$25)</f>
        <v>179.52968118035815</v>
      </c>
      <c r="C15" s="3">
        <f>C14/(1-(25-C13)*'G(T)'!$B$25)</f>
        <v>158.56783243211538</v>
      </c>
      <c r="D15" s="3">
        <f>D14/(1-(25-D13)*'G(T)'!$B$25)</f>
        <v>105.57724467918399</v>
      </c>
      <c r="E15" s="3">
        <f>E14/(1-(25-E13)*'G(T)'!$B$25)</f>
        <v>180</v>
      </c>
      <c r="F15" s="3">
        <f>F14/(1-(25-F13)*'G(T)'!$B$25)</f>
        <v>93.0985888150494</v>
      </c>
      <c r="G15" s="3">
        <f>G14/(1-(25-G13)*'G(T)'!$B$25)</f>
        <v>118.65724633851416</v>
      </c>
      <c r="H15" s="3">
        <f>H14/(1-(25-H13)*'G(T)'!$B$25)</f>
        <v>74.37081859696984</v>
      </c>
      <c r="I15" s="3">
        <f>I14/(1-(25-I13)*'G(T)'!$B$25)</f>
        <v>418.8087924413515</v>
      </c>
      <c r="J15" s="3">
        <f>J14/(1-(25-J13)*'G(T)'!$B$25)</f>
        <v>633.0783494254734</v>
      </c>
      <c r="K15" s="3">
        <f>K14/(1-(25-K13)*'G(T)'!$B$25)</f>
        <v>259.5411365795121</v>
      </c>
      <c r="L15" s="3">
        <f>L14/(1-(25-L13)*'G(T)'!$B$25)</f>
        <v>180.71079750391314</v>
      </c>
    </row>
    <row r="16" spans="1:12" ht="12.75">
      <c r="A16" t="s">
        <v>18</v>
      </c>
      <c r="B16">
        <v>6.2</v>
      </c>
      <c r="C16" s="5">
        <v>6.45</v>
      </c>
      <c r="D16">
        <v>6.5</v>
      </c>
      <c r="E16">
        <v>7</v>
      </c>
      <c r="F16" s="5">
        <f>AVERAGE(6.7,6.7,6.5)</f>
        <v>6.633333333333333</v>
      </c>
      <c r="G16">
        <v>6.7</v>
      </c>
      <c r="I16">
        <v>7.1</v>
      </c>
      <c r="K16">
        <v>6.8</v>
      </c>
      <c r="L16">
        <v>6.8</v>
      </c>
    </row>
    <row r="17" spans="1:12" ht="12.75">
      <c r="A17" t="s">
        <v>19</v>
      </c>
      <c r="B17">
        <v>7.32</v>
      </c>
      <c r="C17" s="6">
        <f>AVERAGE(6.4,6.59,6.71)</f>
        <v>6.566666666666666</v>
      </c>
      <c r="D17">
        <f>AVERAGE(6.8,6.64,6.57)</f>
        <v>6.669999999999999</v>
      </c>
      <c r="E17">
        <v>7.55</v>
      </c>
      <c r="F17" s="5">
        <f>AVERAGE(7.11,6.98,6.89)</f>
        <v>6.993333333333333</v>
      </c>
      <c r="G17">
        <f>AVERAGE(7.48,7.33,7.3)</f>
        <v>7.37</v>
      </c>
      <c r="H17">
        <v>7.1</v>
      </c>
      <c r="I17">
        <v>7.4</v>
      </c>
      <c r="J17">
        <v>7.25</v>
      </c>
      <c r="K17">
        <v>7</v>
      </c>
      <c r="L17">
        <v>7.13</v>
      </c>
    </row>
    <row r="18" spans="1:12" ht="12.75">
      <c r="A18" t="s">
        <v>20</v>
      </c>
      <c r="B18" s="3">
        <v>90</v>
      </c>
      <c r="C18">
        <v>200</v>
      </c>
      <c r="D18">
        <v>110</v>
      </c>
      <c r="E18" s="3">
        <v>80</v>
      </c>
      <c r="F18" s="3">
        <v>100</v>
      </c>
      <c r="G18" s="3">
        <f>100*22/90</f>
        <v>24.444444444444443</v>
      </c>
      <c r="H18">
        <v>60</v>
      </c>
      <c r="I18">
        <v>20</v>
      </c>
      <c r="J18">
        <v>0</v>
      </c>
      <c r="K18">
        <v>30</v>
      </c>
      <c r="L18" s="3">
        <v>80</v>
      </c>
    </row>
    <row r="19" spans="1:12" ht="12.75">
      <c r="A19" t="s">
        <v>21</v>
      </c>
      <c r="B19">
        <f>3.8*$B$6/$B$5*1000</f>
        <v>1.9</v>
      </c>
      <c r="C19">
        <f>4*$B$6/$B$5*1000</f>
        <v>2</v>
      </c>
      <c r="D19">
        <f>2.36*$B$6/$B$5*1000</f>
        <v>1.18</v>
      </c>
      <c r="E19">
        <f>3.6*$B$6/$B$5*1000</f>
        <v>1.8000000000000003</v>
      </c>
      <c r="F19">
        <f>2.2*$B$6/$B$5*1000</f>
        <v>1.1</v>
      </c>
      <c r="G19" s="6">
        <f>2.53*$B$6/$B$5*1000</f>
        <v>1.2650000000000001</v>
      </c>
      <c r="H19" s="6">
        <f>(AVERAGE(1.8,1.4,1.5))*$B$6/$B$5*1000</f>
        <v>0.7833333333333333</v>
      </c>
      <c r="I19">
        <f>11.2*$B$6/$B$5*1000</f>
        <v>5.599999999999999</v>
      </c>
      <c r="J19">
        <f>17*$B$6/$B$5*1000</f>
        <v>8.5</v>
      </c>
      <c r="K19">
        <f>4.26*$B$6/$B$5*1000</f>
        <v>2.13</v>
      </c>
      <c r="L19" s="14">
        <f>3.7*$B$6/$B$5*1000</f>
        <v>1.8500000000000003</v>
      </c>
    </row>
    <row r="20" spans="1:12" ht="12.75">
      <c r="A20" t="s">
        <v>22</v>
      </c>
      <c r="B20" s="6">
        <f>3.47*$B$6/$B$5*1000</f>
        <v>1.7350000000000003</v>
      </c>
      <c r="C20" s="6">
        <f>3.9*$B$6/$B$5*1000</f>
        <v>1.9500000000000002</v>
      </c>
      <c r="D20" s="6">
        <f>2.3*$B$6/$B$5*1000</f>
        <v>1.15</v>
      </c>
      <c r="E20" s="6">
        <f>3.63*$B$6/$B$5*1000</f>
        <v>1.815</v>
      </c>
      <c r="F20" s="6">
        <f>2.16*$B$6/$B$5*1000</f>
        <v>1.0800000000000003</v>
      </c>
      <c r="G20" s="6">
        <f>2.5*$B$6/$B$5*1000</f>
        <v>1.25</v>
      </c>
      <c r="I20" s="6">
        <f>10.43*$B$6/$B$5*1000</f>
        <v>5.215</v>
      </c>
      <c r="K20" s="6">
        <f>4.2*$B$6/$B$5*1000</f>
        <v>2.1</v>
      </c>
      <c r="L20" s="6">
        <f>3.66*$B$6/$B$5*1000</f>
        <v>1.8300000000000003</v>
      </c>
    </row>
    <row r="21" spans="1:12" ht="12.75">
      <c r="A21" t="s">
        <v>23</v>
      </c>
      <c r="B21" s="6">
        <f>3.47*$B$6/$B$5*1000</f>
        <v>1.7350000000000003</v>
      </c>
      <c r="C21" s="6">
        <f>3.9*$B$6/$B$5*1000</f>
        <v>1.9500000000000002</v>
      </c>
      <c r="D21" s="6">
        <f>2.3*$B$6/$B$5*1000</f>
        <v>1.15</v>
      </c>
      <c r="E21" s="6">
        <f>3.56*$B$6/$B$5*1000</f>
        <v>1.78</v>
      </c>
      <c r="F21" s="6">
        <f>2.26*$B$6/$B$5*1000</f>
        <v>1.13</v>
      </c>
      <c r="G21" s="6">
        <f>2.5*$B$6/$B$5*1000</f>
        <v>1.25</v>
      </c>
      <c r="H21" s="6">
        <f>1.56*$B$6/$B$5*1000</f>
        <v>0.7800000000000001</v>
      </c>
      <c r="I21" s="6">
        <f>10.46*$B$6/$B$5*1000</f>
        <v>5.23</v>
      </c>
      <c r="K21" s="6">
        <f>4.2*$B$6/$B$5*1000</f>
        <v>2.1</v>
      </c>
      <c r="L21" s="6">
        <f>3.66*$B$6/$B$5*1000</f>
        <v>1.8300000000000003</v>
      </c>
    </row>
    <row r="22" spans="1:12" ht="12.75">
      <c r="A22" t="s">
        <v>24</v>
      </c>
      <c r="B22" s="6">
        <f>3.65*$B$6/$B$5*1000</f>
        <v>1.825</v>
      </c>
      <c r="C22">
        <f>3.8*$B$6/$B$5*1000</f>
        <v>1.9</v>
      </c>
      <c r="E22" s="6">
        <f>3.55*$B$6/$B$5*1000</f>
        <v>1.775</v>
      </c>
      <c r="F22">
        <f>2.2*$B$6/$B$5*1000</f>
        <v>1.1</v>
      </c>
      <c r="G22">
        <f>2.6*$B$6/$B$5*1000</f>
        <v>1.3</v>
      </c>
      <c r="I22" s="6">
        <f>11.2*$B$6/$B$5*1000</f>
        <v>5.599999999999999</v>
      </c>
      <c r="K22" s="6">
        <f>4.15*$B$6/$B$5*1000</f>
        <v>2.075</v>
      </c>
      <c r="L22" s="6">
        <f>3.45*$B$6/$B$5*1000</f>
        <v>1.725</v>
      </c>
    </row>
    <row r="23" spans="1:12" ht="12.75">
      <c r="A23" t="s">
        <v>25</v>
      </c>
      <c r="B23" s="6">
        <f>4.26*$B$7/$B$5*1000</f>
        <v>1.065</v>
      </c>
      <c r="D23">
        <f>2.8*$B$7/$B$5*1000</f>
        <v>0.6999999999999998</v>
      </c>
      <c r="E23" s="6">
        <f>3.97*$B$7/$B$5*1000</f>
        <v>0.9925000000000002</v>
      </c>
      <c r="F23" s="6">
        <f>2.5*$B$7/$B$5*1000</f>
        <v>0.625</v>
      </c>
      <c r="G23">
        <f>2.8*$B$7/$B$5*1000</f>
        <v>0.6999999999999998</v>
      </c>
      <c r="H23">
        <f>1.9*$B$7/$B$5*1000</f>
        <v>0.475</v>
      </c>
      <c r="I23" s="6">
        <f>10.65*$B$7/$B$5*1000</f>
        <v>2.6625000000000005</v>
      </c>
      <c r="J23">
        <f>12.6*$B$7/$B$5*1000</f>
        <v>3.15</v>
      </c>
      <c r="K23">
        <f>4.16*$B$7/$B$5*1000</f>
        <v>1.04</v>
      </c>
      <c r="L23" s="6">
        <f>4.33*$B$7/$B$5*1000</f>
        <v>1.0825</v>
      </c>
    </row>
    <row r="24" spans="1:12" ht="12.75">
      <c r="A24" t="s">
        <v>26</v>
      </c>
      <c r="B24">
        <f>2.8*$B$7/$B$5*1000</f>
        <v>0.6999999999999998</v>
      </c>
      <c r="C24" s="6">
        <f>2.7*$B$7/$B$5*1000</f>
        <v>0.675</v>
      </c>
      <c r="D24" s="6">
        <f>2.23*$B$7/$B$5*1000</f>
        <v>0.5575000000000001</v>
      </c>
      <c r="E24" s="6">
        <f>3.1*$B$7/$B$5*1000</f>
        <v>0.7750000000000001</v>
      </c>
      <c r="F24" s="6">
        <f>1.76*$B$7/$B$5*1000</f>
        <v>0.44000000000000006</v>
      </c>
      <c r="G24" s="6">
        <f>2.33*$B$7/$B$5*1000</f>
        <v>0.5825</v>
      </c>
      <c r="H24" s="6">
        <f>1.5*$B$7/$B$5*1000</f>
        <v>0.37500000000000006</v>
      </c>
      <c r="I24" s="6">
        <f>6.67*$B$7/$B$5*1000</f>
        <v>1.6675000000000002</v>
      </c>
      <c r="J24" s="6">
        <f>7.3*$B$7/$B$5*1000</f>
        <v>1.825</v>
      </c>
      <c r="K24">
        <f>2.96*$B$7/$B$5*1000</f>
        <v>0.74</v>
      </c>
      <c r="L24" s="6">
        <f>3.53*$B$7/$B$5*1000</f>
        <v>0.8825</v>
      </c>
    </row>
    <row r="25" spans="1:11" ht="12.75">
      <c r="A25" t="s">
        <v>27</v>
      </c>
      <c r="B25" s="6">
        <f>4.35*$B$7/$B$5*1000</f>
        <v>1.0875</v>
      </c>
      <c r="C25" s="6">
        <f>4.2*$B$7/$B$5*1000</f>
        <v>1.05</v>
      </c>
      <c r="D25" s="6">
        <f>2.9*$B$7/$B$5*1000</f>
        <v>0.725</v>
      </c>
      <c r="E25" s="6">
        <f>4.1*$B$7/$B$5*1000</f>
        <v>1.025</v>
      </c>
      <c r="G25" s="6">
        <f>2.9*$B$7/$B$5*1000</f>
        <v>0.725</v>
      </c>
      <c r="I25" s="6">
        <f>10.9*$B$7/$B$5*1000</f>
        <v>2.725</v>
      </c>
      <c r="K25" s="6">
        <f>4.3*$B$7/$B$5*1000</f>
        <v>1.075</v>
      </c>
    </row>
    <row r="26" spans="1:11" ht="12.75">
      <c r="A26" t="s">
        <v>28</v>
      </c>
      <c r="B26" s="6">
        <f>3.1*$B$7/$B$5*1000</f>
        <v>0.7750000000000001</v>
      </c>
      <c r="C26" s="6">
        <f>2.8*$B$7/$B$5*1000</f>
        <v>0.6999999999999998</v>
      </c>
      <c r="D26" s="6">
        <f>2.2*$B$7/$B$5*1000</f>
        <v>0.55</v>
      </c>
      <c r="E26" s="6">
        <f>2.9*$B$7/$B$5*1000</f>
        <v>0.725</v>
      </c>
      <c r="G26" s="6">
        <f>2.1*$B$7/$B$5*1000</f>
        <v>0.525</v>
      </c>
      <c r="I26" s="6">
        <f>7.13*$B$7/$B$5*1000</f>
        <v>1.7825000000000002</v>
      </c>
      <c r="K26" s="6">
        <f>2.95*$B$7/$B$5*1000</f>
        <v>0.7375</v>
      </c>
    </row>
    <row r="27" spans="1:2" ht="12.75">
      <c r="A27" t="s">
        <v>29</v>
      </c>
      <c r="B27" s="6"/>
    </row>
    <row r="28" spans="1:12" ht="12.75">
      <c r="A28" t="s">
        <v>30</v>
      </c>
      <c r="B28">
        <f>0.5*$B$8/$B$5*1000</f>
        <v>0.05499999999999999</v>
      </c>
      <c r="C28">
        <f>0.66*$B$8/$B$5*1000</f>
        <v>0.0726</v>
      </c>
      <c r="D28">
        <f>0.5*$B$8/$B$5*1000</f>
        <v>0.05499999999999999</v>
      </c>
      <c r="E28">
        <f>0.5*$B$8/$B$5*1000</f>
        <v>0.05499999999999999</v>
      </c>
      <c r="F28">
        <f>0.6*$B$8/$B$5*1000</f>
        <v>0.06599999999999999</v>
      </c>
      <c r="G28">
        <f>0.45*$B$8/$B$5*1000</f>
        <v>0.049499999999999995</v>
      </c>
      <c r="I28">
        <f>2*$B$8/$B$5*1000</f>
        <v>0.21999999999999997</v>
      </c>
      <c r="J28">
        <f>0.5*$B$8/$B$5*1000</f>
        <v>0.05499999999999999</v>
      </c>
      <c r="K28">
        <f>0.4*$B$8/$B$5*1000</f>
        <v>0.044000000000000004</v>
      </c>
      <c r="L28">
        <f>0.6*$B$8/$B$5*1000</f>
        <v>0.06599999999999999</v>
      </c>
    </row>
    <row r="29" spans="1:12" ht="12.75">
      <c r="A29" t="s">
        <v>31</v>
      </c>
      <c r="B29">
        <f>0.7*$B$8/$B$5*1000</f>
        <v>0.07699999999999999</v>
      </c>
      <c r="C29">
        <f>0*$B$8/$B$5*1000</f>
        <v>0</v>
      </c>
      <c r="D29">
        <v>0</v>
      </c>
      <c r="E29">
        <v>0</v>
      </c>
      <c r="G29">
        <f>0.65*$B$8/$B$5*1000</f>
        <v>0.07150000000000001</v>
      </c>
      <c r="I29">
        <v>0</v>
      </c>
      <c r="K29">
        <v>0</v>
      </c>
      <c r="L29">
        <v>0</v>
      </c>
    </row>
    <row r="30" spans="1:12" ht="12.75">
      <c r="A30" t="s">
        <v>32</v>
      </c>
      <c r="B30">
        <f>2.6*$B$9/$B$5/4*1000000</f>
        <v>130.00000000000003</v>
      </c>
      <c r="C30">
        <f>1.7*$B$9/$B$5/4*1000000</f>
        <v>85</v>
      </c>
      <c r="D30">
        <f>2.36*$B$9/$B$5/4*1000000</f>
        <v>118</v>
      </c>
      <c r="E30">
        <f>5*$B$9/$B$5/4*1000000</f>
        <v>250</v>
      </c>
      <c r="F30">
        <f>3.6*$B$9/$B$5/4*1000000</f>
        <v>180</v>
      </c>
      <c r="G30" s="3">
        <f>5.03*$B$9/$B$5/4*1000000</f>
        <v>251.50000000000003</v>
      </c>
      <c r="H30">
        <f>4.5*$B$9/$B$5/4*1000000</f>
        <v>225</v>
      </c>
      <c r="L30">
        <f>3.5*$B$9/$B$5/4*1000000</f>
        <v>175.00000000000003</v>
      </c>
    </row>
    <row r="31" spans="1:12" ht="12.75">
      <c r="A31" t="s">
        <v>33</v>
      </c>
      <c r="B31">
        <v>0</v>
      </c>
      <c r="C31">
        <v>10</v>
      </c>
      <c r="D31" t="s">
        <v>34</v>
      </c>
      <c r="E31" t="s">
        <v>34</v>
      </c>
      <c r="F31" t="s">
        <v>34</v>
      </c>
      <c r="G31" t="s">
        <v>34</v>
      </c>
      <c r="H31" t="s">
        <v>34</v>
      </c>
      <c r="I31">
        <v>0.2</v>
      </c>
      <c r="J31">
        <v>20</v>
      </c>
      <c r="K31">
        <v>0</v>
      </c>
      <c r="L31">
        <v>5</v>
      </c>
    </row>
    <row r="32" spans="1:12" ht="12.75">
      <c r="A32" t="s">
        <v>35</v>
      </c>
      <c r="B32">
        <v>0</v>
      </c>
      <c r="C32">
        <v>15</v>
      </c>
      <c r="D32" t="s">
        <v>34</v>
      </c>
      <c r="E32" s="3" t="s">
        <v>34</v>
      </c>
      <c r="F32">
        <v>3.5</v>
      </c>
      <c r="G32" t="s">
        <v>34</v>
      </c>
      <c r="H32" s="3" t="s">
        <v>34</v>
      </c>
      <c r="I32">
        <v>0.2</v>
      </c>
      <c r="J32">
        <v>20</v>
      </c>
      <c r="K32">
        <v>0</v>
      </c>
      <c r="L32" s="3">
        <v>5</v>
      </c>
    </row>
    <row r="33" spans="1:27" ht="12.75">
      <c r="A33" t="s">
        <v>36</v>
      </c>
      <c r="B33">
        <v>3.9</v>
      </c>
      <c r="C33">
        <v>4.3</v>
      </c>
      <c r="D33">
        <v>4.7</v>
      </c>
      <c r="E33">
        <v>4.6</v>
      </c>
      <c r="G33">
        <v>4.5</v>
      </c>
      <c r="I33">
        <v>4.1</v>
      </c>
      <c r="K33">
        <v>4.3</v>
      </c>
      <c r="AA33">
        <f>1/0.0053</f>
        <v>188.67924528301887</v>
      </c>
    </row>
    <row r="34" spans="1:11" ht="12.75">
      <c r="A34" t="s">
        <v>37</v>
      </c>
      <c r="B34">
        <v>4.1</v>
      </c>
      <c r="C34">
        <v>4.4</v>
      </c>
      <c r="D34">
        <v>3.9</v>
      </c>
      <c r="E34">
        <v>3.9</v>
      </c>
      <c r="G34">
        <v>4</v>
      </c>
      <c r="I34">
        <v>4.2</v>
      </c>
      <c r="K34">
        <v>3.1</v>
      </c>
    </row>
    <row r="36" ht="12.75">
      <c r="A36" s="4" t="s">
        <v>38</v>
      </c>
    </row>
    <row r="37" spans="1:12" ht="12.75">
      <c r="A37" t="s">
        <v>39</v>
      </c>
      <c r="B37">
        <f>(B22-B19)/B19</f>
        <v>-0.03947368421052629</v>
      </c>
      <c r="C37">
        <f>(C22-C19)/C19</f>
        <v>-0.050000000000000044</v>
      </c>
      <c r="D37">
        <f aca="true" t="shared" si="0" ref="D37:L37">(D22-D19)/D19</f>
        <v>-1</v>
      </c>
      <c r="E37">
        <f t="shared" si="0"/>
        <v>-0.013888888888889084</v>
      </c>
      <c r="F37">
        <f t="shared" si="0"/>
        <v>0</v>
      </c>
      <c r="G37">
        <f t="shared" si="0"/>
        <v>0.027667984189723254</v>
      </c>
      <c r="H37">
        <f t="shared" si="0"/>
        <v>-1</v>
      </c>
      <c r="I37">
        <f t="shared" si="0"/>
        <v>0</v>
      </c>
      <c r="J37">
        <f t="shared" si="0"/>
        <v>-1</v>
      </c>
      <c r="K37">
        <f t="shared" si="0"/>
        <v>-0.02582159624413132</v>
      </c>
      <c r="L37">
        <f t="shared" si="0"/>
        <v>-0.06756756756756768</v>
      </c>
    </row>
    <row r="38" spans="1:12" ht="12.75">
      <c r="A38" t="s">
        <v>40</v>
      </c>
      <c r="B38">
        <f>(B20-B19)/B19</f>
        <v>-0.08684210526315768</v>
      </c>
      <c r="C38">
        <f>(C20-C19)/C19</f>
        <v>-0.02499999999999991</v>
      </c>
      <c r="D38">
        <f aca="true" t="shared" si="1" ref="D38:L38">(D20-D19)/D19</f>
        <v>-0.025423728813559344</v>
      </c>
      <c r="E38">
        <f t="shared" si="1"/>
        <v>0.008333333333333155</v>
      </c>
      <c r="F38">
        <f t="shared" si="1"/>
        <v>-0.018181818181817994</v>
      </c>
      <c r="G38">
        <f t="shared" si="1"/>
        <v>-0.01185770750988152</v>
      </c>
      <c r="H38">
        <f t="shared" si="1"/>
        <v>-1</v>
      </c>
      <c r="I38">
        <f t="shared" si="1"/>
        <v>-0.06874999999999983</v>
      </c>
      <c r="J38">
        <f t="shared" si="1"/>
        <v>-1</v>
      </c>
      <c r="K38">
        <f t="shared" si="1"/>
        <v>-0.01408450704225343</v>
      </c>
      <c r="L38">
        <f t="shared" si="1"/>
        <v>-0.010810810810810818</v>
      </c>
    </row>
    <row r="39" spans="1:12" ht="12.75">
      <c r="A39" t="s">
        <v>41</v>
      </c>
      <c r="B39">
        <f>(B20-B22)/B22</f>
        <v>-0.04931506849315049</v>
      </c>
      <c r="C39">
        <f>(C20-C22)/C22</f>
        <v>0.02631578947368435</v>
      </c>
      <c r="D39" t="e">
        <f aca="true" t="shared" si="2" ref="D39:L39">(D20-D22)/D22</f>
        <v>#DIV/0!</v>
      </c>
      <c r="E39">
        <f t="shared" si="2"/>
        <v>0.022535211267605656</v>
      </c>
      <c r="F39">
        <f t="shared" si="2"/>
        <v>-0.018181818181817994</v>
      </c>
      <c r="G39">
        <f t="shared" si="2"/>
        <v>-0.03846153846153849</v>
      </c>
      <c r="H39" t="e">
        <f t="shared" si="2"/>
        <v>#DIV/0!</v>
      </c>
      <c r="I39">
        <f t="shared" si="2"/>
        <v>-0.06874999999999983</v>
      </c>
      <c r="J39" t="e">
        <f t="shared" si="2"/>
        <v>#DIV/0!</v>
      </c>
      <c r="K39">
        <f t="shared" si="2"/>
        <v>0.012048192771084293</v>
      </c>
      <c r="L39">
        <f t="shared" si="2"/>
        <v>0.06086956521739142</v>
      </c>
    </row>
    <row r="40" ht="12.75">
      <c r="A40" s="4" t="s">
        <v>42</v>
      </c>
    </row>
    <row r="41" spans="1:12" ht="12.75">
      <c r="A41" t="s">
        <v>43</v>
      </c>
      <c r="B41">
        <f>(2*B23-B19-B28)/(B19+B28)</f>
        <v>0.08951406649616368</v>
      </c>
      <c r="C41">
        <f>(2*C23-C19-C28)/(C19+C28)</f>
        <v>-1</v>
      </c>
      <c r="D41">
        <f>(2*D23-D19-D28)/(D19+D28)</f>
        <v>0.13360323886639658</v>
      </c>
      <c r="E41">
        <f>(2*E23-E19-E28)/(E19+E28)</f>
        <v>0.07008086253369275</v>
      </c>
      <c r="H41">
        <f>(2*H23-H19-H28)/(H19+H28)</f>
        <v>0.21276595744680846</v>
      </c>
      <c r="J41">
        <f>(2*J23-J19-J28)/(J19+J28)</f>
        <v>-0.26358854471069554</v>
      </c>
      <c r="L41">
        <f>(2*L23-L19-L28)/(L19+L28)</f>
        <v>0.12995824634655515</v>
      </c>
    </row>
    <row r="42" spans="1:12" ht="12.75">
      <c r="A42" t="s">
        <v>44</v>
      </c>
      <c r="B42">
        <f>(2*B23-B22-B28)/(B22+B28)</f>
        <v>0.1329787234042553</v>
      </c>
      <c r="C42">
        <f>(2*C23-C22-C28)/(C22+C28)</f>
        <v>-1</v>
      </c>
      <c r="D42">
        <f>(2*D23-D22-D28)/(D22+D28)</f>
        <v>24.454545454545453</v>
      </c>
      <c r="E42">
        <f>(2*E23-E22-E28)/(E22+E28)</f>
        <v>0.0846994535519128</v>
      </c>
      <c r="H42" t="e">
        <f>(2*H23-H22-H28)/(H22+H28)</f>
        <v>#DIV/0!</v>
      </c>
      <c r="J42">
        <f>(2*J23-J22-J28)/(J22+J28)</f>
        <v>113.54545454545456</v>
      </c>
      <c r="L42">
        <f>(2*L23-L22-L28)/(L22+L28)</f>
        <v>0.20882188721384695</v>
      </c>
    </row>
    <row r="43" spans="1:12" ht="12.75">
      <c r="A43" t="s">
        <v>45</v>
      </c>
      <c r="B43">
        <f>(2*B23-B20-B28)/(B20+B28)</f>
        <v>0.18994413407821203</v>
      </c>
      <c r="C43">
        <f>(2*C23-C20-C28)/(C20+C28)</f>
        <v>-1</v>
      </c>
      <c r="E43">
        <f>(2*E23-E20-E28)/(E20+E28)</f>
        <v>0.06149732620320876</v>
      </c>
      <c r="L43">
        <f>(2*L23-L20-L28)/(L20+L28)</f>
        <v>0.14187763713080154</v>
      </c>
    </row>
    <row r="46" spans="1:12" ht="12.75">
      <c r="A46" t="s">
        <v>46</v>
      </c>
      <c r="B46" s="5">
        <f>(B22+B23*4+B29*2)/2</f>
        <v>3.1195</v>
      </c>
      <c r="C46" s="5">
        <f aca="true" t="shared" si="3" ref="C46:K46">(C22+C23*4+C29)/2</f>
        <v>0.95</v>
      </c>
      <c r="D46" s="5">
        <f t="shared" si="3"/>
        <v>1.3999999999999997</v>
      </c>
      <c r="E46" s="5">
        <f t="shared" si="3"/>
        <v>2.8725000000000005</v>
      </c>
      <c r="F46" s="5">
        <f t="shared" si="3"/>
        <v>1.8</v>
      </c>
      <c r="G46" s="5">
        <f t="shared" si="3"/>
        <v>2.08575</v>
      </c>
      <c r="H46" s="5">
        <f t="shared" si="3"/>
        <v>0.95</v>
      </c>
      <c r="I46" s="5">
        <f t="shared" si="3"/>
        <v>8.125</v>
      </c>
      <c r="J46" s="5">
        <f t="shared" si="3"/>
        <v>6.3</v>
      </c>
      <c r="K46" s="5">
        <f t="shared" si="3"/>
        <v>3.1175</v>
      </c>
      <c r="L46" s="5">
        <f>(L22+L23*4+L29)/2</f>
        <v>3.0275</v>
      </c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t="s">
        <v>47</v>
      </c>
      <c r="B48">
        <f>B21/$B21</f>
        <v>1</v>
      </c>
      <c r="C48">
        <f>C21/$B21</f>
        <v>1.1239193083573487</v>
      </c>
      <c r="D48">
        <f aca="true" t="shared" si="4" ref="D48:I48">D21/$B21</f>
        <v>0.6628242074927952</v>
      </c>
      <c r="E48">
        <f t="shared" si="4"/>
        <v>1.025936599423631</v>
      </c>
      <c r="F48">
        <f t="shared" si="4"/>
        <v>0.6512968299711813</v>
      </c>
      <c r="G48">
        <f t="shared" si="4"/>
        <v>0.7204610951008644</v>
      </c>
      <c r="H48">
        <f t="shared" si="4"/>
        <v>0.4495677233429395</v>
      </c>
      <c r="I48">
        <f t="shared" si="4"/>
        <v>3.014409221902017</v>
      </c>
      <c r="K48">
        <f>K21/$B21</f>
        <v>1.2103746397694524</v>
      </c>
      <c r="L48">
        <f>L21/$B21</f>
        <v>1.0547550432276658</v>
      </c>
    </row>
    <row r="49" spans="1:12" ht="12.75">
      <c r="A49" t="s">
        <v>48</v>
      </c>
      <c r="B49">
        <f>B23/$B23</f>
        <v>1</v>
      </c>
      <c r="D49">
        <f aca="true" t="shared" si="5" ref="D49:L49">D23/$B23</f>
        <v>0.6572769953051643</v>
      </c>
      <c r="E49">
        <f t="shared" si="5"/>
        <v>0.9319248826291082</v>
      </c>
      <c r="F49">
        <f t="shared" si="5"/>
        <v>0.5868544600938967</v>
      </c>
      <c r="G49">
        <f t="shared" si="5"/>
        <v>0.6572769953051643</v>
      </c>
      <c r="H49">
        <f t="shared" si="5"/>
        <v>0.4460093896713615</v>
      </c>
      <c r="I49">
        <f t="shared" si="5"/>
        <v>2.5000000000000004</v>
      </c>
      <c r="J49">
        <f t="shared" si="5"/>
        <v>2.9577464788732395</v>
      </c>
      <c r="K49">
        <f t="shared" si="5"/>
        <v>0.9765258215962442</v>
      </c>
      <c r="L49">
        <f t="shared" si="5"/>
        <v>1.0164319248826292</v>
      </c>
    </row>
    <row r="50" spans="1:12" ht="12.75">
      <c r="A50" t="s">
        <v>49</v>
      </c>
      <c r="B50">
        <f>B15/$B15</f>
        <v>1</v>
      </c>
      <c r="C50">
        <f>C15/$B15</f>
        <v>0.8832402051269495</v>
      </c>
      <c r="D50">
        <f aca="true" t="shared" si="6" ref="D50:L50">D15/$B15</f>
        <v>0.588076823759964</v>
      </c>
      <c r="E50">
        <f t="shared" si="6"/>
        <v>1.0026197273707034</v>
      </c>
      <c r="F50">
        <f t="shared" si="6"/>
        <v>0.518569342979678</v>
      </c>
      <c r="G50">
        <f t="shared" si="6"/>
        <v>0.660933866524886</v>
      </c>
      <c r="H50">
        <f t="shared" si="6"/>
        <v>0.414253610366833</v>
      </c>
      <c r="I50">
        <f t="shared" si="6"/>
        <v>2.3328108738777855</v>
      </c>
      <c r="J50">
        <f t="shared" si="6"/>
        <v>3.526315789473684</v>
      </c>
      <c r="K50">
        <f t="shared" si="6"/>
        <v>1.4456725755490718</v>
      </c>
      <c r="L50">
        <f t="shared" si="6"/>
        <v>1.006578947368421</v>
      </c>
    </row>
    <row r="51" spans="1:12" ht="12.75">
      <c r="A51" t="s">
        <v>50</v>
      </c>
      <c r="B51">
        <f>B18/$B18</f>
        <v>1</v>
      </c>
      <c r="C51">
        <f>C18/$B18</f>
        <v>2.2222222222222223</v>
      </c>
      <c r="D51">
        <f aca="true" t="shared" si="7" ref="D51:I51">D18/$B18</f>
        <v>1.2222222222222223</v>
      </c>
      <c r="E51">
        <f t="shared" si="7"/>
        <v>0.8888888888888888</v>
      </c>
      <c r="F51">
        <f t="shared" si="7"/>
        <v>1.1111111111111112</v>
      </c>
      <c r="G51">
        <f t="shared" si="7"/>
        <v>0.2716049382716049</v>
      </c>
      <c r="H51">
        <f t="shared" si="7"/>
        <v>0.6666666666666666</v>
      </c>
      <c r="I51">
        <f t="shared" si="7"/>
        <v>0.2222222222222222</v>
      </c>
      <c r="K51">
        <f>K18/$B18</f>
        <v>0.3333333333333333</v>
      </c>
      <c r="L51">
        <f>L18/$B18</f>
        <v>0.8888888888888888</v>
      </c>
    </row>
    <row r="52" spans="1:12" ht="12.75">
      <c r="A52" t="s">
        <v>51</v>
      </c>
      <c r="B52" s="16">
        <f>-0.0013*B13^3+0.187*B13^2-11.79*B13+453</f>
        <v>293.7864</v>
      </c>
      <c r="C52" s="16">
        <f>-0.0013*C13^3+0.187*C13^2-11.79*C13+453</f>
        <v>305.5512936</v>
      </c>
      <c r="D52" s="16">
        <f aca="true" t="shared" si="8" ref="D52:L52">-0.0013*D13^3+0.187*D13^2-11.79*D13+453</f>
        <v>297.6216888</v>
      </c>
      <c r="E52" s="16">
        <f t="shared" si="8"/>
        <v>254.8125</v>
      </c>
      <c r="F52" s="16">
        <f t="shared" si="8"/>
        <v>267.5859375</v>
      </c>
      <c r="G52" s="16">
        <f t="shared" si="8"/>
        <v>276.4043423</v>
      </c>
      <c r="H52" s="16">
        <f t="shared" si="8"/>
        <v>250.02320000000003</v>
      </c>
      <c r="I52" s="16">
        <f t="shared" si="8"/>
        <v>296.9765625</v>
      </c>
      <c r="J52" s="16">
        <f t="shared" si="8"/>
        <v>293.7864</v>
      </c>
      <c r="K52" s="16">
        <f t="shared" si="8"/>
        <v>321.0248</v>
      </c>
      <c r="L52" s="16">
        <f t="shared" si="8"/>
        <v>293.7864</v>
      </c>
    </row>
    <row r="53" spans="1:12" ht="12.75">
      <c r="A53" t="s">
        <v>52</v>
      </c>
      <c r="B53">
        <f aca="true" t="shared" si="9" ref="B53:H53">B30/B52</f>
        <v>0.4424983593522369</v>
      </c>
      <c r="C53">
        <f t="shared" si="9"/>
        <v>0.2781856983766342</v>
      </c>
      <c r="D53">
        <f t="shared" si="9"/>
        <v>0.3964764815217996</v>
      </c>
      <c r="E53">
        <f t="shared" si="9"/>
        <v>0.9811135638950208</v>
      </c>
      <c r="F53">
        <f t="shared" si="9"/>
        <v>0.6726810896032233</v>
      </c>
      <c r="G53">
        <f t="shared" si="9"/>
        <v>0.9098988746241561</v>
      </c>
      <c r="H53">
        <f t="shared" si="9"/>
        <v>0.8999164877499367</v>
      </c>
      <c r="L53">
        <f>L30/L52</f>
        <v>0.5956708683587805</v>
      </c>
    </row>
  </sheetData>
  <printOptions/>
  <pageMargins left="0.47" right="0.56" top="0.52" bottom="0.5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95">
      <selection activeCell="E126" sqref="E126"/>
    </sheetView>
  </sheetViews>
  <sheetFormatPr defaultColWidth="9.00390625" defaultRowHeight="12.75"/>
  <cols>
    <col min="1" max="1" width="29.625" style="0" customWidth="1"/>
    <col min="2" max="16384" width="5.75390625" style="0" customWidth="1"/>
  </cols>
  <sheetData>
    <row r="1" ht="15.75">
      <c r="A1" s="1" t="s">
        <v>112</v>
      </c>
    </row>
    <row r="3" ht="12.75">
      <c r="A3" t="s">
        <v>113</v>
      </c>
    </row>
    <row r="5" spans="1:3" s="10" customFormat="1" ht="12.75">
      <c r="A5" s="10" t="s">
        <v>114</v>
      </c>
      <c r="B5" s="10">
        <v>100</v>
      </c>
      <c r="C5" s="10" t="s">
        <v>3</v>
      </c>
    </row>
    <row r="6" spans="1:12" s="10" customFormat="1" ht="12.75">
      <c r="A6" s="10" t="s">
        <v>115</v>
      </c>
      <c r="B6" s="10">
        <v>0.01</v>
      </c>
      <c r="C6" s="10" t="s">
        <v>5</v>
      </c>
      <c r="J6" s="10">
        <v>4.5</v>
      </c>
      <c r="K6" s="10">
        <v>40</v>
      </c>
      <c r="L6" s="10">
        <v>260</v>
      </c>
    </row>
    <row r="7" s="15" customFormat="1" ht="12.75"/>
    <row r="8" spans="1:6" s="15" customFormat="1" ht="12.75">
      <c r="A8" s="15" t="s">
        <v>116</v>
      </c>
      <c r="B8" s="15" t="s">
        <v>117</v>
      </c>
      <c r="C8"/>
      <c r="D8" s="15">
        <f>NO3ЭлКал!C50</f>
        <v>238.7</v>
      </c>
      <c r="E8" s="15" t="s">
        <v>118</v>
      </c>
      <c r="F8" s="15">
        <f>NO3ЭлКал!C49</f>
        <v>48.1</v>
      </c>
    </row>
    <row r="9" s="15" customFormat="1" ht="12.75"/>
    <row r="10" s="15" customFormat="1" ht="12.75"/>
    <row r="11" spans="1:2" ht="12.75">
      <c r="A11" s="10" t="s">
        <v>11</v>
      </c>
      <c r="B11" s="10">
        <v>1</v>
      </c>
    </row>
    <row r="12" spans="1:8" s="10" customFormat="1" ht="12.75">
      <c r="A12" s="10" t="s">
        <v>119</v>
      </c>
      <c r="B12" s="10">
        <v>0</v>
      </c>
      <c r="C12" s="10">
        <v>0.1</v>
      </c>
      <c r="D12" s="10">
        <v>0.2</v>
      </c>
      <c r="E12" s="10">
        <v>0.5</v>
      </c>
      <c r="F12" s="10">
        <v>1</v>
      </c>
      <c r="G12" s="10">
        <v>2</v>
      </c>
      <c r="H12" s="10">
        <v>5</v>
      </c>
    </row>
    <row r="13" spans="1:8" ht="12.75">
      <c r="A13" t="s">
        <v>120</v>
      </c>
      <c r="B13">
        <f>$B$5+B12</f>
        <v>100</v>
      </c>
      <c r="C13">
        <f aca="true" t="shared" si="0" ref="C13:H13">$B$5+C12</f>
        <v>100.1</v>
      </c>
      <c r="D13">
        <f t="shared" si="0"/>
        <v>100.2</v>
      </c>
      <c r="E13">
        <f t="shared" si="0"/>
        <v>100.5</v>
      </c>
      <c r="F13">
        <f t="shared" si="0"/>
        <v>101</v>
      </c>
      <c r="G13">
        <f t="shared" si="0"/>
        <v>102</v>
      </c>
      <c r="H13">
        <f t="shared" si="0"/>
        <v>105</v>
      </c>
    </row>
    <row r="14" spans="1:8" ht="12.75">
      <c r="A14" t="s">
        <v>121</v>
      </c>
      <c r="B14">
        <f>B12*$B$6/B13*1000</f>
        <v>0</v>
      </c>
      <c r="C14">
        <f aca="true" t="shared" si="1" ref="C14:H14">C12*$B$6/C13*1000</f>
        <v>0.00999000999000999</v>
      </c>
      <c r="D14">
        <f t="shared" si="1"/>
        <v>0.01996007984031936</v>
      </c>
      <c r="E14">
        <f t="shared" si="1"/>
        <v>0.04975124378109452</v>
      </c>
      <c r="F14">
        <f t="shared" si="1"/>
        <v>0.09900990099009901</v>
      </c>
      <c r="G14">
        <f t="shared" si="1"/>
        <v>0.19607843137254902</v>
      </c>
      <c r="H14">
        <f t="shared" si="1"/>
        <v>0.47619047619047616</v>
      </c>
    </row>
    <row r="15" spans="1:7" s="10" customFormat="1" ht="12.75">
      <c r="A15" s="10" t="s">
        <v>122</v>
      </c>
      <c r="B15" s="10">
        <v>440</v>
      </c>
      <c r="C15" s="10">
        <v>436</v>
      </c>
      <c r="D15" s="10">
        <v>431</v>
      </c>
      <c r="E15" s="10">
        <v>423</v>
      </c>
      <c r="F15" s="10">
        <v>413</v>
      </c>
      <c r="G15" s="10">
        <v>405</v>
      </c>
    </row>
    <row r="16" spans="1:24" ht="12.75">
      <c r="A16" t="s">
        <v>123</v>
      </c>
      <c r="B16" s="5">
        <f aca="true" t="shared" si="2" ref="B16:G16">(B15-$D$8)/$F$8</f>
        <v>4.185031185031185</v>
      </c>
      <c r="C16" s="5">
        <f t="shared" si="2"/>
        <v>4.101871101871102</v>
      </c>
      <c r="D16" s="5">
        <f t="shared" si="2"/>
        <v>3.997920997920998</v>
      </c>
      <c r="E16" s="5">
        <f t="shared" si="2"/>
        <v>3.8316008316008316</v>
      </c>
      <c r="F16" s="5">
        <f t="shared" si="2"/>
        <v>3.623700623700624</v>
      </c>
      <c r="G16" s="5">
        <f t="shared" si="2"/>
        <v>3.4573804573804576</v>
      </c>
      <c r="W16">
        <v>0</v>
      </c>
      <c r="X16">
        <v>1</v>
      </c>
    </row>
    <row r="17" spans="1:24" ht="12.75">
      <c r="A17" t="s">
        <v>124</v>
      </c>
      <c r="B17" s="6">
        <f aca="true" t="shared" si="3" ref="B17:G17">10^(-B16+3)</f>
        <v>0.06530836555160369</v>
      </c>
      <c r="C17" s="6">
        <f t="shared" si="3"/>
        <v>0.0790913335383592</v>
      </c>
      <c r="D17" s="6">
        <f t="shared" si="3"/>
        <v>0.10047985555644799</v>
      </c>
      <c r="E17" s="6">
        <f t="shared" si="3"/>
        <v>0.1473666355210967</v>
      </c>
      <c r="F17" s="6">
        <f t="shared" si="3"/>
        <v>0.2378479301145535</v>
      </c>
      <c r="G17" s="6">
        <f t="shared" si="3"/>
        <v>0.34883459010296514</v>
      </c>
      <c r="W17">
        <v>0</v>
      </c>
      <c r="X17">
        <v>1</v>
      </c>
    </row>
    <row r="18" spans="1:7" ht="12.75">
      <c r="A18" t="s">
        <v>125</v>
      </c>
      <c r="B18" s="6">
        <f aca="true" t="shared" si="4" ref="B18:G18">$B17+B14</f>
        <v>0.06530836555160369</v>
      </c>
      <c r="C18" s="6">
        <f t="shared" si="4"/>
        <v>0.07529837554161367</v>
      </c>
      <c r="D18" s="6">
        <f t="shared" si="4"/>
        <v>0.08526844539192305</v>
      </c>
      <c r="E18" s="6">
        <f t="shared" si="4"/>
        <v>0.11505960933269821</v>
      </c>
      <c r="F18" s="6">
        <f t="shared" si="4"/>
        <v>0.1643182665417027</v>
      </c>
      <c r="G18" s="6">
        <f t="shared" si="4"/>
        <v>0.2613867969241527</v>
      </c>
    </row>
    <row r="19" spans="1:7" ht="12.75">
      <c r="A19" t="s">
        <v>126</v>
      </c>
      <c r="B19" s="6">
        <f aca="true" t="shared" si="5" ref="B19:G19">(B17-B18)/B18</f>
        <v>0</v>
      </c>
      <c r="C19" s="6">
        <f t="shared" si="5"/>
        <v>0.05037237482831689</v>
      </c>
      <c r="D19" s="6">
        <f t="shared" si="5"/>
        <v>0.17839436493310135</v>
      </c>
      <c r="E19" s="6">
        <f t="shared" si="5"/>
        <v>0.28078511978066756</v>
      </c>
      <c r="F19" s="6">
        <f t="shared" si="5"/>
        <v>0.4474831990403789</v>
      </c>
      <c r="G19" s="6">
        <f t="shared" si="5"/>
        <v>0.3345532146529476</v>
      </c>
    </row>
    <row r="20" spans="2:7" ht="12.75">
      <c r="B20" t="s">
        <v>127</v>
      </c>
      <c r="C20">
        <v>4.5</v>
      </c>
      <c r="D20" t="s">
        <v>128</v>
      </c>
      <c r="E20">
        <v>40</v>
      </c>
      <c r="F20" t="s">
        <v>129</v>
      </c>
      <c r="G20">
        <v>260</v>
      </c>
    </row>
    <row r="21" spans="1:8" ht="12.75">
      <c r="A21" t="s">
        <v>130</v>
      </c>
      <c r="B21" s="6">
        <f aca="true" t="shared" si="6" ref="B21:G21">-LOG((10^-$C20)*$B13/B13+B14/1000)</f>
        <v>4.500000000000001</v>
      </c>
      <c r="C21" s="6">
        <f t="shared" si="6"/>
        <v>4.381103029413224</v>
      </c>
      <c r="D21" s="6">
        <f t="shared" si="6"/>
        <v>4.288026361572125</v>
      </c>
      <c r="E21" s="6">
        <f t="shared" si="6"/>
        <v>4.090354697461387</v>
      </c>
      <c r="F21" s="6">
        <f t="shared" si="6"/>
        <v>3.884990325716548</v>
      </c>
      <c r="G21" s="6">
        <f t="shared" si="6"/>
        <v>3.6438189083038437</v>
      </c>
      <c r="H21" s="6">
        <f>-LOG(10^-$C20*$B13/H13+H14/1000)</f>
        <v>3.295585719687645</v>
      </c>
    </row>
    <row r="22" spans="1:7" ht="12.75">
      <c r="A22" t="s">
        <v>81</v>
      </c>
      <c r="B22" s="3">
        <f aca="true" t="shared" si="7" ref="B22:G22">$E20*B21+$G20</f>
        <v>440</v>
      </c>
      <c r="C22" s="3">
        <f t="shared" si="7"/>
        <v>435.244121176529</v>
      </c>
      <c r="D22" s="3">
        <f t="shared" si="7"/>
        <v>431.521054462885</v>
      </c>
      <c r="E22" s="3">
        <f t="shared" si="7"/>
        <v>423.6141878984555</v>
      </c>
      <c r="F22" s="3">
        <f t="shared" si="7"/>
        <v>415.3996130286619</v>
      </c>
      <c r="G22" s="3">
        <f t="shared" si="7"/>
        <v>405.75275633215375</v>
      </c>
    </row>
    <row r="23" spans="2:5" ht="12.75">
      <c r="B23" s="6"/>
      <c r="C23" s="6"/>
      <c r="D23" s="6"/>
      <c r="E23" s="6"/>
    </row>
    <row r="24" spans="1:2" ht="12.75">
      <c r="A24" s="10" t="s">
        <v>11</v>
      </c>
      <c r="B24" s="10">
        <v>2</v>
      </c>
    </row>
    <row r="25" spans="1:8" s="10" customFormat="1" ht="12.75">
      <c r="A25" s="10" t="s">
        <v>119</v>
      </c>
      <c r="B25" s="10">
        <v>0</v>
      </c>
      <c r="C25" s="10">
        <v>0.1</v>
      </c>
      <c r="D25" s="10">
        <v>0.2</v>
      </c>
      <c r="E25" s="10">
        <v>0.5</v>
      </c>
      <c r="F25" s="10">
        <v>1</v>
      </c>
      <c r="G25" s="10">
        <v>2</v>
      </c>
      <c r="H25" s="10">
        <v>5</v>
      </c>
    </row>
    <row r="26" spans="1:8" ht="12.75">
      <c r="A26" t="s">
        <v>120</v>
      </c>
      <c r="B26">
        <f>$B$5+B25</f>
        <v>100</v>
      </c>
      <c r="C26">
        <f aca="true" t="shared" si="8" ref="C26:H26">$B$5+C25</f>
        <v>100.1</v>
      </c>
      <c r="D26">
        <f t="shared" si="8"/>
        <v>100.2</v>
      </c>
      <c r="E26">
        <f t="shared" si="8"/>
        <v>100.5</v>
      </c>
      <c r="F26">
        <f t="shared" si="8"/>
        <v>101</v>
      </c>
      <c r="G26">
        <f t="shared" si="8"/>
        <v>102</v>
      </c>
      <c r="H26">
        <f t="shared" si="8"/>
        <v>105</v>
      </c>
    </row>
    <row r="27" spans="1:8" ht="12.75">
      <c r="A27" t="s">
        <v>121</v>
      </c>
      <c r="B27">
        <f>B25*$B$6/B26*1000</f>
        <v>0</v>
      </c>
      <c r="C27">
        <f aca="true" t="shared" si="9" ref="C27:H27">C25*$B$6/C26*1000</f>
        <v>0.00999000999000999</v>
      </c>
      <c r="D27">
        <f t="shared" si="9"/>
        <v>0.01996007984031936</v>
      </c>
      <c r="E27">
        <f t="shared" si="9"/>
        <v>0.04975124378109452</v>
      </c>
      <c r="F27">
        <f t="shared" si="9"/>
        <v>0.09900990099009901</v>
      </c>
      <c r="G27">
        <f t="shared" si="9"/>
        <v>0.19607843137254902</v>
      </c>
      <c r="H27">
        <f t="shared" si="9"/>
        <v>0.47619047619047616</v>
      </c>
    </row>
    <row r="28" spans="1:7" s="10" customFormat="1" ht="12.75">
      <c r="A28" s="10" t="s">
        <v>122</v>
      </c>
      <c r="B28" s="10">
        <v>466</v>
      </c>
      <c r="C28" s="10">
        <v>457</v>
      </c>
      <c r="D28" s="10">
        <v>449</v>
      </c>
      <c r="E28" s="10">
        <v>436</v>
      </c>
      <c r="F28" s="10">
        <v>422</v>
      </c>
      <c r="G28" s="10">
        <v>410</v>
      </c>
    </row>
    <row r="29" spans="1:7" ht="12.75">
      <c r="A29" t="s">
        <v>131</v>
      </c>
      <c r="B29" s="5">
        <f aca="true" t="shared" si="10" ref="B29:G29">(B28-$D$8)/$F$8</f>
        <v>4.725571725571726</v>
      </c>
      <c r="C29" s="5">
        <f t="shared" si="10"/>
        <v>4.538461538461538</v>
      </c>
      <c r="D29" s="5">
        <f t="shared" si="10"/>
        <v>4.372141372141372</v>
      </c>
      <c r="E29" s="5">
        <f t="shared" si="10"/>
        <v>4.101871101871102</v>
      </c>
      <c r="F29" s="5">
        <f t="shared" si="10"/>
        <v>3.810810810810811</v>
      </c>
      <c r="G29" s="5">
        <f t="shared" si="10"/>
        <v>3.5613305613305615</v>
      </c>
    </row>
    <row r="30" spans="1:7" ht="12.75">
      <c r="A30" t="s">
        <v>132</v>
      </c>
      <c r="B30" s="6">
        <f aca="true" t="shared" si="11" ref="B30:G30">10^(-B29+3)</f>
        <v>0.0188117099720985</v>
      </c>
      <c r="C30" s="6">
        <f t="shared" si="11"/>
        <v>0.028942661247167514</v>
      </c>
      <c r="D30" s="6">
        <f t="shared" si="11"/>
        <v>0.0424481363692426</v>
      </c>
      <c r="E30" s="6">
        <f t="shared" si="11"/>
        <v>0.0790913335383592</v>
      </c>
      <c r="F30" s="6">
        <f t="shared" si="11"/>
        <v>0.15459277364194768</v>
      </c>
      <c r="G30" s="6">
        <f t="shared" si="11"/>
        <v>0.2745803401364458</v>
      </c>
    </row>
    <row r="31" spans="1:7" ht="12.75">
      <c r="A31" t="s">
        <v>125</v>
      </c>
      <c r="B31" s="6">
        <f aca="true" t="shared" si="12" ref="B31:G31">$B30+B27</f>
        <v>0.0188117099720985</v>
      </c>
      <c r="C31" s="6">
        <f t="shared" si="12"/>
        <v>0.028801719962108487</v>
      </c>
      <c r="D31" s="6">
        <f t="shared" si="12"/>
        <v>0.038771789812417856</v>
      </c>
      <c r="E31" s="6">
        <f t="shared" si="12"/>
        <v>0.06856295375319302</v>
      </c>
      <c r="F31" s="6">
        <f t="shared" si="12"/>
        <v>0.11782161096219751</v>
      </c>
      <c r="G31" s="6">
        <f t="shared" si="12"/>
        <v>0.2148901413446475</v>
      </c>
    </row>
    <row r="32" spans="1:7" ht="12.75">
      <c r="A32" t="s">
        <v>126</v>
      </c>
      <c r="B32">
        <f aca="true" t="shared" si="13" ref="B32:G32">(B30-B31)/B31</f>
        <v>0</v>
      </c>
      <c r="C32">
        <f t="shared" si="13"/>
        <v>0.004893502375707051</v>
      </c>
      <c r="D32">
        <f t="shared" si="13"/>
        <v>0.09482014048387521</v>
      </c>
      <c r="E32">
        <f t="shared" si="13"/>
        <v>0.15355785025052066</v>
      </c>
      <c r="F32">
        <f t="shared" si="13"/>
        <v>0.312091834252275</v>
      </c>
      <c r="G32">
        <f t="shared" si="13"/>
        <v>0.2777707642532808</v>
      </c>
    </row>
    <row r="33" spans="2:7" ht="12.75">
      <c r="B33" t="s">
        <v>127</v>
      </c>
      <c r="C33">
        <v>5.1</v>
      </c>
      <c r="D33" t="s">
        <v>128</v>
      </c>
      <c r="E33">
        <v>39.5</v>
      </c>
      <c r="F33" t="s">
        <v>129</v>
      </c>
      <c r="G33">
        <v>266</v>
      </c>
    </row>
    <row r="34" spans="1:8" ht="12.75">
      <c r="A34" t="s">
        <v>130</v>
      </c>
      <c r="B34" s="6">
        <f aca="true" t="shared" si="14" ref="B34:G34">-LOG((10^-$C33)*$B26/B26+B27/1000)</f>
        <v>5.1000000000000005</v>
      </c>
      <c r="C34" s="6">
        <f t="shared" si="14"/>
        <v>4.746532186435451</v>
      </c>
      <c r="D34" s="6">
        <f t="shared" si="14"/>
        <v>4.554590302517246</v>
      </c>
      <c r="E34" s="6">
        <f t="shared" si="14"/>
        <v>4.239162968456615</v>
      </c>
      <c r="F34" s="6">
        <f t="shared" si="14"/>
        <v>3.971125753794215</v>
      </c>
      <c r="G34" s="6">
        <f t="shared" si="14"/>
        <v>3.6906552768116145</v>
      </c>
      <c r="H34" s="6">
        <f>-LOG(10^-$C33*$B26/H26+H27/1000)</f>
        <v>3.315374078004126</v>
      </c>
    </row>
    <row r="35" spans="1:7" ht="12.75">
      <c r="A35" t="s">
        <v>81</v>
      </c>
      <c r="B35" s="3">
        <f aca="true" t="shared" si="15" ref="B35:G35">$E33*B34+$G33</f>
        <v>467.45000000000005</v>
      </c>
      <c r="C35" s="3">
        <f t="shared" si="15"/>
        <v>453.48802136420034</v>
      </c>
      <c r="D35" s="3">
        <f t="shared" si="15"/>
        <v>445.90631694943124</v>
      </c>
      <c r="E35" s="3">
        <f t="shared" si="15"/>
        <v>433.44693725403624</v>
      </c>
      <c r="F35" s="3">
        <f t="shared" si="15"/>
        <v>422.85946727487146</v>
      </c>
      <c r="G35" s="3">
        <f t="shared" si="15"/>
        <v>411.78088343405875</v>
      </c>
    </row>
    <row r="38" spans="1:2" ht="12.75">
      <c r="A38" s="10" t="s">
        <v>11</v>
      </c>
      <c r="B38" s="10" t="s">
        <v>13</v>
      </c>
    </row>
    <row r="39" spans="1:8" s="10" customFormat="1" ht="12.75">
      <c r="A39" s="10" t="s">
        <v>119</v>
      </c>
      <c r="B39" s="10">
        <v>0</v>
      </c>
      <c r="C39" s="10">
        <v>0.1</v>
      </c>
      <c r="D39" s="10">
        <v>0.2</v>
      </c>
      <c r="E39" s="10">
        <v>0.5</v>
      </c>
      <c r="F39" s="10">
        <v>1</v>
      </c>
      <c r="G39" s="10">
        <v>2</v>
      </c>
      <c r="H39" s="10">
        <v>5</v>
      </c>
    </row>
    <row r="40" spans="1:8" ht="12.75">
      <c r="A40" t="s">
        <v>120</v>
      </c>
      <c r="B40">
        <f>$B$5+B39</f>
        <v>100</v>
      </c>
      <c r="C40">
        <f aca="true" t="shared" si="16" ref="C40:H40">$B$5+C39</f>
        <v>100.1</v>
      </c>
      <c r="D40">
        <f t="shared" si="16"/>
        <v>100.2</v>
      </c>
      <c r="E40">
        <f t="shared" si="16"/>
        <v>100.5</v>
      </c>
      <c r="F40">
        <f t="shared" si="16"/>
        <v>101</v>
      </c>
      <c r="G40">
        <f t="shared" si="16"/>
        <v>102</v>
      </c>
      <c r="H40">
        <f t="shared" si="16"/>
        <v>105</v>
      </c>
    </row>
    <row r="41" spans="1:8" ht="12.75">
      <c r="A41" t="s">
        <v>121</v>
      </c>
      <c r="B41">
        <f>B39*$B$6/B40*1000</f>
        <v>0</v>
      </c>
      <c r="C41">
        <f aca="true" t="shared" si="17" ref="C41:H41">C39*$B$6/C40*1000</f>
        <v>0.00999000999000999</v>
      </c>
      <c r="D41">
        <f t="shared" si="17"/>
        <v>0.01996007984031936</v>
      </c>
      <c r="E41">
        <f t="shared" si="17"/>
        <v>0.04975124378109452</v>
      </c>
      <c r="F41">
        <f t="shared" si="17"/>
        <v>0.09900990099009901</v>
      </c>
      <c r="G41">
        <f t="shared" si="17"/>
        <v>0.19607843137254902</v>
      </c>
      <c r="H41">
        <f t="shared" si="17"/>
        <v>0.47619047619047616</v>
      </c>
    </row>
    <row r="42" spans="1:8" s="10" customFormat="1" ht="12.75">
      <c r="A42" s="10" t="s">
        <v>122</v>
      </c>
      <c r="B42" s="10">
        <v>400</v>
      </c>
      <c r="C42" s="10">
        <v>399</v>
      </c>
      <c r="D42" s="10">
        <v>398</v>
      </c>
      <c r="E42" s="10">
        <v>396</v>
      </c>
      <c r="F42" s="10">
        <v>393</v>
      </c>
      <c r="G42" s="10">
        <v>388</v>
      </c>
      <c r="H42" s="10">
        <v>380</v>
      </c>
    </row>
    <row r="43" spans="1:8" ht="12.75">
      <c r="A43" t="s">
        <v>131</v>
      </c>
      <c r="B43" s="5">
        <f>(B42-$D$8)/$F$8</f>
        <v>3.353430353430354</v>
      </c>
      <c r="C43" s="5">
        <f aca="true" t="shared" si="18" ref="C43:H43">(C42-$D$8)/$F$8</f>
        <v>3.3326403326403327</v>
      </c>
      <c r="D43" s="5">
        <f t="shared" si="18"/>
        <v>3.311850311850312</v>
      </c>
      <c r="E43" s="5">
        <f t="shared" si="18"/>
        <v>3.2702702702702706</v>
      </c>
      <c r="F43" s="5">
        <f t="shared" si="18"/>
        <v>3.207900207900208</v>
      </c>
      <c r="G43" s="5">
        <f t="shared" si="18"/>
        <v>3.1039501039501043</v>
      </c>
      <c r="H43" s="5">
        <f t="shared" si="18"/>
        <v>2.937629937629938</v>
      </c>
    </row>
    <row r="44" spans="1:8" ht="12.75">
      <c r="A44" t="s">
        <v>132</v>
      </c>
      <c r="B44" s="6">
        <f>10^(-B43+3)</f>
        <v>0.4431692785864972</v>
      </c>
      <c r="C44" s="6">
        <f aca="true" t="shared" si="19" ref="C44:H44">10^(-C43+3)</f>
        <v>0.46490012971613126</v>
      </c>
      <c r="D44" s="6">
        <f t="shared" si="19"/>
        <v>0.48769655536465856</v>
      </c>
      <c r="E44" s="6">
        <f t="shared" si="19"/>
        <v>0.536697694554047</v>
      </c>
      <c r="F44" s="6">
        <f t="shared" si="19"/>
        <v>0.6195834264780907</v>
      </c>
      <c r="G44" s="6">
        <f t="shared" si="19"/>
        <v>0.7871362185022933</v>
      </c>
      <c r="H44" s="6">
        <f t="shared" si="19"/>
        <v>1.1544365343192213</v>
      </c>
    </row>
    <row r="45" spans="1:8" ht="12.75">
      <c r="A45" t="s">
        <v>125</v>
      </c>
      <c r="B45" s="6">
        <f>$B44+B41</f>
        <v>0.4431692785864972</v>
      </c>
      <c r="C45" s="6">
        <f aca="true" t="shared" si="20" ref="C45:H45">$B44+C41</f>
        <v>0.45315928857650717</v>
      </c>
      <c r="D45" s="6">
        <f t="shared" si="20"/>
        <v>0.4631293584268166</v>
      </c>
      <c r="E45" s="6">
        <f t="shared" si="20"/>
        <v>0.4929205223675917</v>
      </c>
      <c r="F45" s="6">
        <f t="shared" si="20"/>
        <v>0.5421791795765962</v>
      </c>
      <c r="G45" s="6">
        <f t="shared" si="20"/>
        <v>0.6392477099590462</v>
      </c>
      <c r="H45" s="6">
        <f t="shared" si="20"/>
        <v>0.9193597547769734</v>
      </c>
    </row>
    <row r="46" spans="1:8" ht="12.75">
      <c r="A46" t="s">
        <v>126</v>
      </c>
      <c r="B46" s="6">
        <f aca="true" t="shared" si="21" ref="B46:H46">(B44-B45)/B45</f>
        <v>0</v>
      </c>
      <c r="C46" s="6">
        <f t="shared" si="21"/>
        <v>0.02590886126709478</v>
      </c>
      <c r="D46" s="6">
        <f t="shared" si="21"/>
        <v>0.05304607987127657</v>
      </c>
      <c r="E46" s="6">
        <f t="shared" si="21"/>
        <v>0.0888118270592289</v>
      </c>
      <c r="F46" s="6">
        <f t="shared" si="21"/>
        <v>0.1427650670059698</v>
      </c>
      <c r="G46" s="6">
        <f t="shared" si="21"/>
        <v>0.23134773302937864</v>
      </c>
      <c r="H46" s="6">
        <f t="shared" si="21"/>
        <v>0.2556961823930122</v>
      </c>
    </row>
    <row r="47" spans="2:7" ht="12.75">
      <c r="B47" t="s">
        <v>127</v>
      </c>
      <c r="C47">
        <v>3.7</v>
      </c>
      <c r="D47" t="s">
        <v>128</v>
      </c>
      <c r="E47">
        <v>39.5</v>
      </c>
      <c r="F47" t="s">
        <v>129</v>
      </c>
      <c r="G47">
        <v>254</v>
      </c>
    </row>
    <row r="48" spans="1:8" ht="12.75">
      <c r="A48" t="s">
        <v>130</v>
      </c>
      <c r="B48" s="6">
        <f>-LOG(10^-$C47*$B40/B40+B41/1000)</f>
        <v>3.7000000000000006</v>
      </c>
      <c r="C48" s="6">
        <f aca="true" t="shared" si="22" ref="C48:H48">-LOG(10^-$C47*$B40/C40+C41/1000)</f>
        <v>3.6791956755650643</v>
      </c>
      <c r="D48" s="6">
        <f t="shared" si="22"/>
        <v>3.659381299396419</v>
      </c>
      <c r="E48" s="6">
        <f t="shared" si="22"/>
        <v>3.6050498540996</v>
      </c>
      <c r="F48" s="6">
        <f t="shared" si="22"/>
        <v>3.527886511346158</v>
      </c>
      <c r="G48" s="6">
        <f t="shared" si="22"/>
        <v>3.407054872917023</v>
      </c>
      <c r="H48" s="6">
        <f t="shared" si="22"/>
        <v>3.176385294351098</v>
      </c>
    </row>
    <row r="49" spans="1:8" ht="12.75">
      <c r="A49" t="s">
        <v>81</v>
      </c>
      <c r="B49" s="3">
        <f>$E47*B48+$G47</f>
        <v>400.15000000000003</v>
      </c>
      <c r="C49" s="3">
        <f aca="true" t="shared" si="23" ref="C49:H49">$E47*C48+$G47</f>
        <v>399.32822918482003</v>
      </c>
      <c r="D49" s="3">
        <f t="shared" si="23"/>
        <v>398.5455613261586</v>
      </c>
      <c r="E49" s="3">
        <f t="shared" si="23"/>
        <v>396.39946923693424</v>
      </c>
      <c r="F49" s="3">
        <f t="shared" si="23"/>
        <v>393.35151719817327</v>
      </c>
      <c r="G49" s="3">
        <f t="shared" si="23"/>
        <v>388.5786674802224</v>
      </c>
      <c r="H49" s="3">
        <f t="shared" si="23"/>
        <v>379.4672191268684</v>
      </c>
    </row>
    <row r="52" spans="1:7" s="10" customFormat="1" ht="12.75">
      <c r="A52" s="10" t="s">
        <v>11</v>
      </c>
      <c r="B52" s="10" t="s">
        <v>12</v>
      </c>
      <c r="C52"/>
      <c r="D52"/>
      <c r="E52"/>
      <c r="F52"/>
      <c r="G52"/>
    </row>
    <row r="53" spans="1:7" ht="12.75">
      <c r="A53" s="10" t="s">
        <v>119</v>
      </c>
      <c r="B53" s="10">
        <v>0</v>
      </c>
      <c r="C53" s="10">
        <v>0.1</v>
      </c>
      <c r="D53" s="10">
        <v>0.2</v>
      </c>
      <c r="E53" s="10">
        <v>0.5</v>
      </c>
      <c r="F53" s="10">
        <v>1</v>
      </c>
      <c r="G53" s="10">
        <v>2</v>
      </c>
    </row>
    <row r="54" spans="1:7" ht="12.75">
      <c r="A54" t="s">
        <v>120</v>
      </c>
      <c r="B54">
        <f aca="true" t="shared" si="24" ref="B54:G54">$B$5+B53</f>
        <v>100</v>
      </c>
      <c r="C54">
        <f t="shared" si="24"/>
        <v>100.1</v>
      </c>
      <c r="D54">
        <f t="shared" si="24"/>
        <v>100.2</v>
      </c>
      <c r="E54">
        <f t="shared" si="24"/>
        <v>100.5</v>
      </c>
      <c r="F54">
        <f t="shared" si="24"/>
        <v>101</v>
      </c>
      <c r="G54">
        <f t="shared" si="24"/>
        <v>102</v>
      </c>
    </row>
    <row r="55" spans="1:7" s="10" customFormat="1" ht="12.75">
      <c r="A55" t="s">
        <v>121</v>
      </c>
      <c r="B55">
        <f aca="true" t="shared" si="25" ref="B55:G55">B53*$B$6/B54*1000</f>
        <v>0</v>
      </c>
      <c r="C55">
        <f t="shared" si="25"/>
        <v>0.00999000999000999</v>
      </c>
      <c r="D55">
        <f t="shared" si="25"/>
        <v>0.01996007984031936</v>
      </c>
      <c r="E55">
        <f t="shared" si="25"/>
        <v>0.04975124378109452</v>
      </c>
      <c r="F55">
        <f t="shared" si="25"/>
        <v>0.09900990099009901</v>
      </c>
      <c r="G55">
        <f t="shared" si="25"/>
        <v>0.19607843137254902</v>
      </c>
    </row>
    <row r="56" spans="1:8" ht="12.75">
      <c r="A56" s="10" t="s">
        <v>122</v>
      </c>
      <c r="B56" s="10">
        <v>457</v>
      </c>
      <c r="C56" s="10">
        <v>448</v>
      </c>
      <c r="D56" s="10">
        <v>438</v>
      </c>
      <c r="E56" s="10">
        <v>426</v>
      </c>
      <c r="F56" s="10">
        <v>416</v>
      </c>
      <c r="G56" s="10">
        <v>404</v>
      </c>
      <c r="H56" s="5"/>
    </row>
    <row r="57" spans="1:8" ht="12.75">
      <c r="A57" t="s">
        <v>131</v>
      </c>
      <c r="B57" s="5">
        <f aca="true" t="shared" si="26" ref="B57:G57">(B56-$D$8)/$F$8</f>
        <v>4.538461538461538</v>
      </c>
      <c r="C57" s="5">
        <f t="shared" si="26"/>
        <v>4.351351351351352</v>
      </c>
      <c r="D57" s="5">
        <f t="shared" si="26"/>
        <v>4.143451143451143</v>
      </c>
      <c r="E57" s="5">
        <f t="shared" si="26"/>
        <v>3.893970893970894</v>
      </c>
      <c r="F57" s="5">
        <f t="shared" si="26"/>
        <v>3.686070686070686</v>
      </c>
      <c r="G57" s="5">
        <f t="shared" si="26"/>
        <v>3.4365904365904365</v>
      </c>
      <c r="H57" s="6"/>
    </row>
    <row r="58" spans="1:8" ht="12.75">
      <c r="A58" t="s">
        <v>132</v>
      </c>
      <c r="B58" s="6">
        <f aca="true" t="shared" si="27" ref="B58:G58">10^(-B57+3)</f>
        <v>0.028942661247167514</v>
      </c>
      <c r="C58" s="6">
        <f t="shared" si="27"/>
        <v>0.04452958509942649</v>
      </c>
      <c r="D58" s="6">
        <f t="shared" si="27"/>
        <v>0.07187020051931807</v>
      </c>
      <c r="E58" s="6">
        <f t="shared" si="27"/>
        <v>0.1276524357469331</v>
      </c>
      <c r="F58" s="6">
        <f t="shared" si="27"/>
        <v>0.20602945510106702</v>
      </c>
      <c r="G58" s="6">
        <f t="shared" si="27"/>
        <v>0.3659397300859816</v>
      </c>
      <c r="H58" s="6"/>
    </row>
    <row r="59" spans="1:8" ht="12.75">
      <c r="A59" t="s">
        <v>125</v>
      </c>
      <c r="B59" s="6">
        <f aca="true" t="shared" si="28" ref="B59:G59">$B58+B55</f>
        <v>0.028942661247167514</v>
      </c>
      <c r="C59" s="6">
        <f t="shared" si="28"/>
        <v>0.0389326712371775</v>
      </c>
      <c r="D59" s="6">
        <f t="shared" si="28"/>
        <v>0.04890274108748688</v>
      </c>
      <c r="E59" s="6">
        <f t="shared" si="28"/>
        <v>0.07869390502826204</v>
      </c>
      <c r="F59" s="6">
        <f t="shared" si="28"/>
        <v>0.12795256223726653</v>
      </c>
      <c r="G59" s="6">
        <f t="shared" si="28"/>
        <v>0.22502109261971653</v>
      </c>
      <c r="H59" s="6"/>
    </row>
    <row r="60" spans="1:7" ht="12.75">
      <c r="A60" t="s">
        <v>126</v>
      </c>
      <c r="B60" s="6">
        <f aca="true" t="shared" si="29" ref="B60:G60">(B58-B59)/B59</f>
        <v>0</v>
      </c>
      <c r="C60" s="6">
        <f t="shared" si="29"/>
        <v>0.14375879394847166</v>
      </c>
      <c r="D60" s="6">
        <f t="shared" si="29"/>
        <v>0.4696558704294809</v>
      </c>
      <c r="E60" s="6">
        <f t="shared" si="29"/>
        <v>0.6221387882719527</v>
      </c>
      <c r="F60" s="6">
        <f t="shared" si="29"/>
        <v>0.6102018709013424</v>
      </c>
      <c r="G60" s="6">
        <f t="shared" si="29"/>
        <v>0.6262463479564387</v>
      </c>
    </row>
    <row r="61" spans="2:7" ht="12.75">
      <c r="B61" t="s">
        <v>127</v>
      </c>
      <c r="C61">
        <v>5</v>
      </c>
      <c r="D61" t="s">
        <v>128</v>
      </c>
      <c r="E61">
        <v>40</v>
      </c>
      <c r="F61" t="s">
        <v>129</v>
      </c>
      <c r="G61">
        <v>257</v>
      </c>
    </row>
    <row r="62" spans="1:7" ht="12.75">
      <c r="A62" t="s">
        <v>130</v>
      </c>
      <c r="B62" s="6">
        <f aca="true" t="shared" si="30" ref="B62:G62">-LOG(10^-$C61*$B54/B54+B55/1000)</f>
        <v>5</v>
      </c>
      <c r="C62" s="6">
        <f t="shared" si="30"/>
        <v>4.699404081815337</v>
      </c>
      <c r="D62" s="6">
        <f t="shared" si="30"/>
        <v>4.523746466811565</v>
      </c>
      <c r="E62" s="6">
        <f t="shared" si="30"/>
        <v>4.224014811372864</v>
      </c>
      <c r="F62" s="6">
        <f t="shared" si="30"/>
        <v>3.9629286886244177</v>
      </c>
      <c r="G62" s="6">
        <f t="shared" si="30"/>
        <v>3.6863808770279984</v>
      </c>
    </row>
    <row r="63" spans="1:7" s="10" customFormat="1" ht="12.75">
      <c r="A63" t="s">
        <v>81</v>
      </c>
      <c r="B63" s="3">
        <f aca="true" t="shared" si="31" ref="B63:G63">$E61*B62+$G61</f>
        <v>457</v>
      </c>
      <c r="C63" s="3">
        <f t="shared" si="31"/>
        <v>444.97616327261346</v>
      </c>
      <c r="D63" s="3">
        <f t="shared" si="31"/>
        <v>437.9498586724626</v>
      </c>
      <c r="E63" s="3">
        <f t="shared" si="31"/>
        <v>425.9605924549146</v>
      </c>
      <c r="F63" s="3">
        <f t="shared" si="31"/>
        <v>415.5171475449767</v>
      </c>
      <c r="G63" s="3">
        <f t="shared" si="31"/>
        <v>404.45523508111995</v>
      </c>
    </row>
    <row r="66" spans="1:7" s="10" customFormat="1" ht="12.75">
      <c r="A66" s="10" t="s">
        <v>11</v>
      </c>
      <c r="B66" s="10">
        <v>11</v>
      </c>
      <c r="C66"/>
      <c r="D66"/>
      <c r="E66"/>
      <c r="F66"/>
      <c r="G66"/>
    </row>
    <row r="67" spans="1:8" ht="12.75">
      <c r="A67" s="10" t="s">
        <v>119</v>
      </c>
      <c r="B67" s="10">
        <v>0</v>
      </c>
      <c r="C67" s="10">
        <v>0.1</v>
      </c>
      <c r="D67" s="10">
        <v>0.2</v>
      </c>
      <c r="E67" s="10">
        <v>0.5</v>
      </c>
      <c r="F67" s="10">
        <v>1</v>
      </c>
      <c r="G67" s="10">
        <v>2</v>
      </c>
      <c r="H67" s="5"/>
    </row>
    <row r="68" spans="1:8" ht="12.75">
      <c r="A68" t="s">
        <v>120</v>
      </c>
      <c r="B68">
        <f aca="true" t="shared" si="32" ref="B68:G68">$B$5+B67</f>
        <v>100</v>
      </c>
      <c r="C68">
        <f t="shared" si="32"/>
        <v>100.1</v>
      </c>
      <c r="D68">
        <f t="shared" si="32"/>
        <v>100.2</v>
      </c>
      <c r="E68">
        <f t="shared" si="32"/>
        <v>100.5</v>
      </c>
      <c r="F68">
        <f t="shared" si="32"/>
        <v>101</v>
      </c>
      <c r="G68">
        <f t="shared" si="32"/>
        <v>102</v>
      </c>
      <c r="H68" s="6"/>
    </row>
    <row r="69" spans="1:8" ht="12.75">
      <c r="A69" t="s">
        <v>121</v>
      </c>
      <c r="B69">
        <f aca="true" t="shared" si="33" ref="B69:G69">B67*$B$6/B68*1000</f>
        <v>0</v>
      </c>
      <c r="C69">
        <f t="shared" si="33"/>
        <v>0.00999000999000999</v>
      </c>
      <c r="D69">
        <f t="shared" si="33"/>
        <v>0.01996007984031936</v>
      </c>
      <c r="E69">
        <f t="shared" si="33"/>
        <v>0.04975124378109452</v>
      </c>
      <c r="F69">
        <f t="shared" si="33"/>
        <v>0.09900990099009901</v>
      </c>
      <c r="G69">
        <f t="shared" si="33"/>
        <v>0.19607843137254902</v>
      </c>
      <c r="H69" s="6"/>
    </row>
    <row r="70" spans="1:7" ht="12.75">
      <c r="A70" s="10" t="s">
        <v>122</v>
      </c>
      <c r="B70" s="10">
        <v>447</v>
      </c>
      <c r="C70" s="10">
        <v>443</v>
      </c>
      <c r="D70" s="10">
        <v>438</v>
      </c>
      <c r="E70" s="10">
        <v>430</v>
      </c>
      <c r="F70" s="10">
        <v>422</v>
      </c>
      <c r="G70" s="10">
        <v>411</v>
      </c>
    </row>
    <row r="71" spans="1:7" ht="12.75">
      <c r="A71" t="s">
        <v>131</v>
      </c>
      <c r="B71" s="5">
        <f aca="true" t="shared" si="34" ref="B71:G71">(B70-$D$8)/$F$8</f>
        <v>4.330561330561331</v>
      </c>
      <c r="C71" s="5">
        <f t="shared" si="34"/>
        <v>4.247401247401248</v>
      </c>
      <c r="D71" s="5">
        <f t="shared" si="34"/>
        <v>4.143451143451143</v>
      </c>
      <c r="E71" s="5">
        <f t="shared" si="34"/>
        <v>3.9771309771309773</v>
      </c>
      <c r="F71" s="5">
        <f t="shared" si="34"/>
        <v>3.810810810810811</v>
      </c>
      <c r="G71" s="5">
        <f t="shared" si="34"/>
        <v>3.582120582120582</v>
      </c>
    </row>
    <row r="72" spans="1:7" ht="12.75">
      <c r="A72" t="s">
        <v>132</v>
      </c>
      <c r="B72" s="6">
        <f aca="true" t="shared" si="35" ref="B72:G72">10^(-B71+3)</f>
        <v>0.04671309788205079</v>
      </c>
      <c r="C72" s="6">
        <f t="shared" si="35"/>
        <v>0.05657163785977753</v>
      </c>
      <c r="D72" s="6">
        <f t="shared" si="35"/>
        <v>0.07187020051931807</v>
      </c>
      <c r="E72" s="6">
        <f t="shared" si="35"/>
        <v>0.10540689560215837</v>
      </c>
      <c r="F72" s="6">
        <f t="shared" si="35"/>
        <v>0.15459277364194768</v>
      </c>
      <c r="G72" s="6">
        <f t="shared" si="35"/>
        <v>0.26174561690616266</v>
      </c>
    </row>
    <row r="73" spans="1:7" ht="12.75">
      <c r="A73" t="s">
        <v>125</v>
      </c>
      <c r="B73" s="6">
        <f aca="true" t="shared" si="36" ref="B73:G73">$B72+B69</f>
        <v>0.04671309788205079</v>
      </c>
      <c r="C73" s="6">
        <f t="shared" si="36"/>
        <v>0.05670310787206078</v>
      </c>
      <c r="D73" s="6">
        <f t="shared" si="36"/>
        <v>0.06667317772237015</v>
      </c>
      <c r="E73" s="6">
        <f t="shared" si="36"/>
        <v>0.09646434166314531</v>
      </c>
      <c r="F73" s="6">
        <f t="shared" si="36"/>
        <v>0.1457229988721498</v>
      </c>
      <c r="G73" s="6">
        <f t="shared" si="36"/>
        <v>0.2427915292545998</v>
      </c>
    </row>
    <row r="74" spans="1:7" s="10" customFormat="1" ht="12.75">
      <c r="A74" t="s">
        <v>126</v>
      </c>
      <c r="B74" s="6">
        <f aca="true" t="shared" si="37" ref="B74:G74">(B72-B73)/B73</f>
        <v>0</v>
      </c>
      <c r="C74" s="6">
        <f t="shared" si="37"/>
        <v>-0.0023185680153526714</v>
      </c>
      <c r="D74" s="6">
        <f t="shared" si="37"/>
        <v>0.0779477291241245</v>
      </c>
      <c r="E74" s="6">
        <f t="shared" si="37"/>
        <v>0.09270320809569783</v>
      </c>
      <c r="F74" s="6">
        <f t="shared" si="37"/>
        <v>0.06086736368622083</v>
      </c>
      <c r="G74" s="6">
        <f t="shared" si="37"/>
        <v>0.07806733500857413</v>
      </c>
    </row>
    <row r="75" spans="2:7" ht="12.75">
      <c r="B75" t="s">
        <v>127</v>
      </c>
      <c r="C75">
        <v>4.55</v>
      </c>
      <c r="D75" t="s">
        <v>128</v>
      </c>
      <c r="E75">
        <v>39</v>
      </c>
      <c r="F75" t="s">
        <v>129</v>
      </c>
      <c r="G75">
        <v>269</v>
      </c>
    </row>
    <row r="76" spans="1:7" ht="12.75">
      <c r="A76" t="s">
        <v>130</v>
      </c>
      <c r="B76" s="6">
        <f aca="true" t="shared" si="38" ref="B76:G76">-LOG(10^-$C75*$B68/B68+B69/1000)</f>
        <v>4.550000000000001</v>
      </c>
      <c r="C76" s="6">
        <f t="shared" si="38"/>
        <v>4.418554597477256</v>
      </c>
      <c r="D76" s="6">
        <f t="shared" si="38"/>
        <v>4.31796640981939</v>
      </c>
      <c r="E76" s="6">
        <f t="shared" si="38"/>
        <v>4.1090491241250575</v>
      </c>
      <c r="F76" s="6">
        <f t="shared" si="38"/>
        <v>3.8964881324004854</v>
      </c>
      <c r="G76" s="6">
        <f t="shared" si="38"/>
        <v>3.650315307705685</v>
      </c>
    </row>
    <row r="77" spans="1:7" s="10" customFormat="1" ht="12.75">
      <c r="A77" t="s">
        <v>81</v>
      </c>
      <c r="B77" s="3">
        <f aca="true" t="shared" si="39" ref="B77:G77">$E75*B76+$G75</f>
        <v>446.45000000000005</v>
      </c>
      <c r="C77" s="3">
        <f t="shared" si="39"/>
        <v>441.323629301613</v>
      </c>
      <c r="D77" s="3">
        <f t="shared" si="39"/>
        <v>437.40068998295624</v>
      </c>
      <c r="E77" s="3">
        <f t="shared" si="39"/>
        <v>429.2529158408772</v>
      </c>
      <c r="F77" s="3">
        <f t="shared" si="39"/>
        <v>420.96303716361894</v>
      </c>
      <c r="G77" s="3">
        <f t="shared" si="39"/>
        <v>411.3622970005217</v>
      </c>
    </row>
    <row r="80" spans="1:7" s="10" customFormat="1" ht="12.75">
      <c r="A80" s="10" t="s">
        <v>11</v>
      </c>
      <c r="B80" s="10">
        <v>5</v>
      </c>
      <c r="C80"/>
      <c r="D80"/>
      <c r="E80"/>
      <c r="F80"/>
      <c r="G80"/>
    </row>
    <row r="81" spans="1:8" ht="12.75">
      <c r="A81" s="10" t="s">
        <v>119</v>
      </c>
      <c r="B81" s="10">
        <v>0</v>
      </c>
      <c r="C81" s="10">
        <v>0.1</v>
      </c>
      <c r="D81" s="10">
        <v>0.2</v>
      </c>
      <c r="E81" s="10">
        <v>0.5</v>
      </c>
      <c r="F81" s="10">
        <v>1</v>
      </c>
      <c r="G81" s="10">
        <v>2</v>
      </c>
      <c r="H81" s="5"/>
    </row>
    <row r="82" spans="1:8" ht="12.75">
      <c r="A82" t="s">
        <v>120</v>
      </c>
      <c r="B82">
        <f aca="true" t="shared" si="40" ref="B82:G82">$B$5+B81</f>
        <v>100</v>
      </c>
      <c r="C82">
        <f t="shared" si="40"/>
        <v>100.1</v>
      </c>
      <c r="D82">
        <f t="shared" si="40"/>
        <v>100.2</v>
      </c>
      <c r="E82">
        <f t="shared" si="40"/>
        <v>100.5</v>
      </c>
      <c r="F82">
        <f t="shared" si="40"/>
        <v>101</v>
      </c>
      <c r="G82">
        <f t="shared" si="40"/>
        <v>102</v>
      </c>
      <c r="H82" s="6"/>
    </row>
    <row r="83" spans="1:8" ht="12.75">
      <c r="A83" t="s">
        <v>121</v>
      </c>
      <c r="B83">
        <f aca="true" t="shared" si="41" ref="B83:G83">B81*$B$6/B82*1000</f>
        <v>0</v>
      </c>
      <c r="C83">
        <f t="shared" si="41"/>
        <v>0.00999000999000999</v>
      </c>
      <c r="D83">
        <f t="shared" si="41"/>
        <v>0.01996007984031936</v>
      </c>
      <c r="E83">
        <f t="shared" si="41"/>
        <v>0.04975124378109452</v>
      </c>
      <c r="F83">
        <f t="shared" si="41"/>
        <v>0.09900990099009901</v>
      </c>
      <c r="G83">
        <f t="shared" si="41"/>
        <v>0.19607843137254902</v>
      </c>
      <c r="H83" s="6"/>
    </row>
    <row r="84" spans="1:7" ht="12.75">
      <c r="A84" s="10" t="s">
        <v>122</v>
      </c>
      <c r="B84" s="10">
        <v>442</v>
      </c>
      <c r="C84" s="10">
        <v>439</v>
      </c>
      <c r="D84" s="10">
        <v>433</v>
      </c>
      <c r="E84" s="10">
        <v>427</v>
      </c>
      <c r="F84" s="10">
        <v>419</v>
      </c>
      <c r="G84" s="10">
        <v>403</v>
      </c>
    </row>
    <row r="85" spans="1:7" ht="12.75">
      <c r="A85" t="s">
        <v>131</v>
      </c>
      <c r="B85" s="5">
        <f aca="true" t="shared" si="42" ref="B85:G85">(B84-$D$8)/$F$8</f>
        <v>4.226611226611227</v>
      </c>
      <c r="C85" s="5">
        <f t="shared" si="42"/>
        <v>4.164241164241164</v>
      </c>
      <c r="D85" s="5">
        <f t="shared" si="42"/>
        <v>4.039501039501039</v>
      </c>
      <c r="E85" s="5">
        <f t="shared" si="42"/>
        <v>3.914760914760915</v>
      </c>
      <c r="F85" s="5">
        <f t="shared" si="42"/>
        <v>3.7484407484407485</v>
      </c>
      <c r="G85" s="5">
        <f t="shared" si="42"/>
        <v>3.415800415800416</v>
      </c>
    </row>
    <row r="86" spans="1:7" ht="12.75">
      <c r="A86" t="s">
        <v>132</v>
      </c>
      <c r="B86" s="6">
        <f aca="true" t="shared" si="43" ref="B86:G86">10^(-B85+3)</f>
        <v>0.059345633937329306</v>
      </c>
      <c r="C86" s="6">
        <f t="shared" si="43"/>
        <v>0.06851076796958767</v>
      </c>
      <c r="D86" s="6">
        <f t="shared" si="43"/>
        <v>0.09130592498470909</v>
      </c>
      <c r="E86" s="6">
        <f t="shared" si="43"/>
        <v>0.12168557125230381</v>
      </c>
      <c r="F86" s="6">
        <f t="shared" si="43"/>
        <v>0.17846754583400615</v>
      </c>
      <c r="G86" s="6">
        <f t="shared" si="43"/>
        <v>0.3838836223663321</v>
      </c>
    </row>
    <row r="87" spans="1:7" ht="12.75">
      <c r="A87" t="s">
        <v>125</v>
      </c>
      <c r="B87" s="6">
        <f aca="true" t="shared" si="44" ref="B87:G87">$B86+B83</f>
        <v>0.059345633937329306</v>
      </c>
      <c r="C87" s="6">
        <f t="shared" si="44"/>
        <v>0.06933564392733929</v>
      </c>
      <c r="D87" s="6">
        <f t="shared" si="44"/>
        <v>0.07930571377764867</v>
      </c>
      <c r="E87" s="6">
        <f t="shared" si="44"/>
        <v>0.10909687771842383</v>
      </c>
      <c r="F87" s="6">
        <f t="shared" si="44"/>
        <v>0.15835553492742832</v>
      </c>
      <c r="G87" s="6">
        <f t="shared" si="44"/>
        <v>0.2554240653098783</v>
      </c>
    </row>
    <row r="88" spans="1:7" s="10" customFormat="1" ht="12.75">
      <c r="A88" t="s">
        <v>126</v>
      </c>
      <c r="B88" s="6">
        <f aca="true" t="shared" si="45" ref="B88:G88">(B86-B87)/B87</f>
        <v>0</v>
      </c>
      <c r="C88" s="6">
        <f t="shared" si="45"/>
        <v>-0.011896852917614071</v>
      </c>
      <c r="D88" s="6">
        <f t="shared" si="45"/>
        <v>0.1513158464307591</v>
      </c>
      <c r="E88" s="6">
        <f t="shared" si="45"/>
        <v>0.11539004412547045</v>
      </c>
      <c r="F88" s="6">
        <f t="shared" si="45"/>
        <v>0.12700541800319656</v>
      </c>
      <c r="G88" s="6">
        <f t="shared" si="45"/>
        <v>0.502926601299716</v>
      </c>
    </row>
    <row r="89" spans="2:7" ht="12.75">
      <c r="B89" t="s">
        <v>127</v>
      </c>
      <c r="C89">
        <v>4.15</v>
      </c>
      <c r="D89" t="s">
        <v>128</v>
      </c>
      <c r="E89">
        <v>70</v>
      </c>
      <c r="F89" t="s">
        <v>129</v>
      </c>
      <c r="G89">
        <v>152</v>
      </c>
    </row>
    <row r="90" spans="1:7" ht="12.75">
      <c r="A90" t="s">
        <v>130</v>
      </c>
      <c r="B90" s="6">
        <f aca="true" t="shared" si="46" ref="B90:G90">-LOG(10^-$C89*$B82/B82+B83/1000)</f>
        <v>4.15</v>
      </c>
      <c r="C90" s="6">
        <f t="shared" si="46"/>
        <v>4.09305185820569</v>
      </c>
      <c r="D90" s="6">
        <f t="shared" si="46"/>
        <v>4.042807804998874</v>
      </c>
      <c r="E90" s="6">
        <f t="shared" si="46"/>
        <v>3.9201186192521775</v>
      </c>
      <c r="F90" s="6">
        <f t="shared" si="46"/>
        <v>3.7718472930950564</v>
      </c>
      <c r="G90" s="6">
        <f t="shared" si="46"/>
        <v>3.5759602066448606</v>
      </c>
    </row>
    <row r="91" spans="1:7" s="10" customFormat="1" ht="12.75">
      <c r="A91" t="s">
        <v>81</v>
      </c>
      <c r="B91" s="3">
        <f aca="true" t="shared" si="47" ref="B91:G91">$E89*B90+$G89</f>
        <v>442.5</v>
      </c>
      <c r="C91" s="3">
        <f t="shared" si="47"/>
        <v>438.5136300743983</v>
      </c>
      <c r="D91" s="3">
        <f t="shared" si="47"/>
        <v>434.9965463499212</v>
      </c>
      <c r="E91" s="3">
        <f t="shared" si="47"/>
        <v>426.4083033476524</v>
      </c>
      <c r="F91" s="3">
        <f t="shared" si="47"/>
        <v>416.02931051665394</v>
      </c>
      <c r="G91" s="3">
        <f t="shared" si="47"/>
        <v>402.31721446514024</v>
      </c>
    </row>
    <row r="94" spans="1:7" s="10" customFormat="1" ht="12.75">
      <c r="A94" s="10" t="s">
        <v>11</v>
      </c>
      <c r="B94" s="10">
        <v>7</v>
      </c>
      <c r="C94"/>
      <c r="D94"/>
      <c r="E94"/>
      <c r="F94"/>
      <c r="G94"/>
    </row>
    <row r="95" spans="1:8" ht="12.75">
      <c r="A95" s="10" t="s">
        <v>119</v>
      </c>
      <c r="B95" s="10">
        <v>0</v>
      </c>
      <c r="C95" s="10">
        <v>0.1</v>
      </c>
      <c r="D95" s="10">
        <v>0.2</v>
      </c>
      <c r="E95" s="10">
        <v>0.5</v>
      </c>
      <c r="F95" s="10">
        <v>1</v>
      </c>
      <c r="G95" s="10">
        <v>2</v>
      </c>
      <c r="H95" s="5"/>
    </row>
    <row r="96" spans="1:8" ht="12.75">
      <c r="A96" t="s">
        <v>120</v>
      </c>
      <c r="B96">
        <f aca="true" t="shared" si="48" ref="B96:G96">$B$5+B95</f>
        <v>100</v>
      </c>
      <c r="C96">
        <f t="shared" si="48"/>
        <v>100.1</v>
      </c>
      <c r="D96">
        <f t="shared" si="48"/>
        <v>100.2</v>
      </c>
      <c r="E96">
        <f t="shared" si="48"/>
        <v>100.5</v>
      </c>
      <c r="F96">
        <f t="shared" si="48"/>
        <v>101</v>
      </c>
      <c r="G96">
        <f t="shared" si="48"/>
        <v>102</v>
      </c>
      <c r="H96" s="6"/>
    </row>
    <row r="97" spans="1:8" ht="12.75">
      <c r="A97" t="s">
        <v>121</v>
      </c>
      <c r="B97">
        <f aca="true" t="shared" si="49" ref="B97:G97">B95*$B$6/B96*1000</f>
        <v>0</v>
      </c>
      <c r="C97">
        <f t="shared" si="49"/>
        <v>0.00999000999000999</v>
      </c>
      <c r="D97">
        <f t="shared" si="49"/>
        <v>0.01996007984031936</v>
      </c>
      <c r="E97">
        <f t="shared" si="49"/>
        <v>0.04975124378109452</v>
      </c>
      <c r="F97">
        <f t="shared" si="49"/>
        <v>0.09900990099009901</v>
      </c>
      <c r="G97">
        <f t="shared" si="49"/>
        <v>0.19607843137254902</v>
      </c>
      <c r="H97" s="6"/>
    </row>
    <row r="98" spans="1:7" ht="12.75">
      <c r="A98" s="10" t="s">
        <v>122</v>
      </c>
      <c r="B98" s="10">
        <v>443</v>
      </c>
      <c r="C98" s="10">
        <v>436</v>
      </c>
      <c r="D98" s="10">
        <v>429</v>
      </c>
      <c r="E98" s="10">
        <v>421</v>
      </c>
      <c r="F98" s="10">
        <v>403</v>
      </c>
      <c r="G98" s="10">
        <v>397</v>
      </c>
    </row>
    <row r="99" spans="1:7" ht="12.75">
      <c r="A99" t="s">
        <v>131</v>
      </c>
      <c r="B99" s="5">
        <f aca="true" t="shared" si="50" ref="B99:G99">(B98-$D$8)/$F$8</f>
        <v>4.247401247401248</v>
      </c>
      <c r="C99" s="5">
        <f t="shared" si="50"/>
        <v>4.101871101871102</v>
      </c>
      <c r="D99" s="5">
        <f t="shared" si="50"/>
        <v>3.9563409563409566</v>
      </c>
      <c r="E99" s="5">
        <f t="shared" si="50"/>
        <v>3.7900207900207903</v>
      </c>
      <c r="F99" s="5">
        <f t="shared" si="50"/>
        <v>3.415800415800416</v>
      </c>
      <c r="G99" s="5">
        <f t="shared" si="50"/>
        <v>3.2910602910602913</v>
      </c>
    </row>
    <row r="100" spans="1:7" ht="12.75">
      <c r="A100" t="s">
        <v>132</v>
      </c>
      <c r="B100" s="6">
        <f aca="true" t="shared" si="51" ref="B100:G100">10^(-B99+3)</f>
        <v>0.05657163785977753</v>
      </c>
      <c r="C100" s="6">
        <f t="shared" si="51"/>
        <v>0.0790913335383592</v>
      </c>
      <c r="D100" s="6">
        <f t="shared" si="51"/>
        <v>0.11057553356296922</v>
      </c>
      <c r="E100" s="6">
        <f t="shared" si="51"/>
        <v>0.16217324618834197</v>
      </c>
      <c r="F100" s="6">
        <f t="shared" si="51"/>
        <v>0.3838836223663321</v>
      </c>
      <c r="G100" s="6">
        <f t="shared" si="51"/>
        <v>0.5116108060881459</v>
      </c>
    </row>
    <row r="101" spans="1:7" ht="12.75">
      <c r="A101" t="s">
        <v>125</v>
      </c>
      <c r="B101" s="6">
        <f aca="true" t="shared" si="52" ref="B101:G101">$B100+B97</f>
        <v>0.05657163785977753</v>
      </c>
      <c r="C101" s="6">
        <f t="shared" si="52"/>
        <v>0.06656164784978752</v>
      </c>
      <c r="D101" s="6">
        <f t="shared" si="52"/>
        <v>0.0765317177000969</v>
      </c>
      <c r="E101" s="6">
        <f t="shared" si="52"/>
        <v>0.10632288164087206</v>
      </c>
      <c r="F101" s="6">
        <f t="shared" si="52"/>
        <v>0.15558153884987655</v>
      </c>
      <c r="G101" s="6">
        <f t="shared" si="52"/>
        <v>0.2526500692323265</v>
      </c>
    </row>
    <row r="102" spans="1:7" ht="12.75">
      <c r="A102" t="s">
        <v>126</v>
      </c>
      <c r="B102" s="6">
        <f aca="true" t="shared" si="53" ref="B102:G102">(B100-B101)/B101</f>
        <v>0</v>
      </c>
      <c r="C102" s="6">
        <f t="shared" si="53"/>
        <v>0.18824181932586698</v>
      </c>
      <c r="D102" s="6">
        <f t="shared" si="53"/>
        <v>0.4448327685036294</v>
      </c>
      <c r="E102" s="6">
        <f t="shared" si="53"/>
        <v>0.5252901697690653</v>
      </c>
      <c r="F102" s="6">
        <f t="shared" si="53"/>
        <v>1.4674111414770643</v>
      </c>
      <c r="G102" s="6">
        <f t="shared" si="53"/>
        <v>1.0249778978595483</v>
      </c>
    </row>
    <row r="103" spans="2:7" ht="12.75">
      <c r="B103" t="s">
        <v>127</v>
      </c>
      <c r="C103">
        <v>4.8</v>
      </c>
      <c r="D103" t="s">
        <v>128</v>
      </c>
      <c r="E103">
        <v>41</v>
      </c>
      <c r="F103" t="s">
        <v>129</v>
      </c>
      <c r="G103">
        <v>246</v>
      </c>
    </row>
    <row r="104" spans="1:7" ht="12.75">
      <c r="A104" t="s">
        <v>130</v>
      </c>
      <c r="B104" s="6">
        <f aca="true" t="shared" si="54" ref="B104:G104">-LOG(10^-$C103*$B96/B96+B97/1000)</f>
        <v>4.8</v>
      </c>
      <c r="C104" s="6">
        <f t="shared" si="54"/>
        <v>4.587991474684979</v>
      </c>
      <c r="D104" s="6">
        <f t="shared" si="54"/>
        <v>4.446391500611303</v>
      </c>
      <c r="E104" s="6">
        <f t="shared" si="54"/>
        <v>4.183617326695752</v>
      </c>
      <c r="F104" s="6">
        <f t="shared" si="54"/>
        <v>3.940429339639263</v>
      </c>
      <c r="G104" s="6">
        <f t="shared" si="54"/>
        <v>3.6744502677638184</v>
      </c>
    </row>
    <row r="105" spans="1:7" s="10" customFormat="1" ht="12.75">
      <c r="A105" t="s">
        <v>81</v>
      </c>
      <c r="B105" s="3">
        <f aca="true" t="shared" si="55" ref="B105:G105">$E103*B104+$G103</f>
        <v>442.79999999999995</v>
      </c>
      <c r="C105" s="3">
        <f t="shared" si="55"/>
        <v>434.10765046208417</v>
      </c>
      <c r="D105" s="3">
        <f t="shared" si="55"/>
        <v>428.3020515250634</v>
      </c>
      <c r="E105" s="3">
        <f t="shared" si="55"/>
        <v>417.5283103945259</v>
      </c>
      <c r="F105" s="3">
        <f t="shared" si="55"/>
        <v>407.5576029252098</v>
      </c>
      <c r="G105" s="3">
        <f t="shared" si="55"/>
        <v>396.6524609783165</v>
      </c>
    </row>
    <row r="109" spans="1:8" ht="12.75">
      <c r="A109" t="s">
        <v>11</v>
      </c>
      <c r="B109">
        <v>1</v>
      </c>
      <c r="C109">
        <v>2</v>
      </c>
      <c r="D109" t="s">
        <v>13</v>
      </c>
      <c r="E109" t="s">
        <v>12</v>
      </c>
      <c r="F109">
        <v>11</v>
      </c>
      <c r="G109">
        <v>5</v>
      </c>
      <c r="H109">
        <v>7</v>
      </c>
    </row>
    <row r="110" spans="1:8" ht="12.75">
      <c r="A110" t="s">
        <v>133</v>
      </c>
      <c r="B110" s="5">
        <f>B16</f>
        <v>4.185031185031185</v>
      </c>
      <c r="C110" s="5">
        <f>B29</f>
        <v>4.725571725571726</v>
      </c>
      <c r="D110" s="5">
        <f>B43</f>
        <v>3.353430353430354</v>
      </c>
      <c r="E110" s="5">
        <f>B57</f>
        <v>4.538461538461538</v>
      </c>
      <c r="F110" s="5">
        <f>B71</f>
        <v>4.330561330561331</v>
      </c>
      <c r="G110" s="5">
        <f>B85</f>
        <v>4.226611226611227</v>
      </c>
      <c r="H110" s="5">
        <f>B99</f>
        <v>4.247401247401248</v>
      </c>
    </row>
    <row r="111" spans="1:11" ht="12.75">
      <c r="A111" t="s">
        <v>134</v>
      </c>
      <c r="B111">
        <f>C20</f>
        <v>4.5</v>
      </c>
      <c r="C111">
        <f>C33</f>
        <v>5.1</v>
      </c>
      <c r="D111">
        <f>C47</f>
        <v>3.7</v>
      </c>
      <c r="E111">
        <f>C61</f>
        <v>5</v>
      </c>
      <c r="F111">
        <f>C75</f>
        <v>4.55</v>
      </c>
      <c r="G111">
        <f>C89</f>
        <v>4.15</v>
      </c>
      <c r="H111">
        <f>C103</f>
        <v>4.8</v>
      </c>
      <c r="I111" t="s">
        <v>135</v>
      </c>
      <c r="J111" t="s">
        <v>136</v>
      </c>
      <c r="K111" t="s">
        <v>137</v>
      </c>
    </row>
    <row r="112" spans="1:11" ht="12.75">
      <c r="A112" s="12" t="s">
        <v>138</v>
      </c>
      <c r="B112">
        <f>B111-B110</f>
        <v>0.31496881496881457</v>
      </c>
      <c r="C112">
        <f aca="true" t="shared" si="56" ref="C112:H112">C111-C110</f>
        <v>0.37442827442827387</v>
      </c>
      <c r="D112">
        <f t="shared" si="56"/>
        <v>0.3465696465696464</v>
      </c>
      <c r="E112">
        <f t="shared" si="56"/>
        <v>0.4615384615384617</v>
      </c>
      <c r="F112">
        <f t="shared" si="56"/>
        <v>0.2194386694386692</v>
      </c>
      <c r="G112">
        <f t="shared" si="56"/>
        <v>-0.07661122661122644</v>
      </c>
      <c r="H112">
        <f t="shared" si="56"/>
        <v>0.5525987525987519</v>
      </c>
      <c r="I112" s="6">
        <f>AVERAGE(B112:H112)</f>
        <v>0.31327591327591303</v>
      </c>
      <c r="J112" s="6">
        <f>MIN(B112:H112)</f>
        <v>-0.07661122661122644</v>
      </c>
      <c r="K112" s="6">
        <f>MAX(B112:H112)</f>
        <v>0.5525987525987519</v>
      </c>
    </row>
    <row r="113" spans="1:11" ht="12.75">
      <c r="A113" t="s">
        <v>128</v>
      </c>
      <c r="B113">
        <v>40</v>
      </c>
      <c r="C113">
        <v>39.5</v>
      </c>
      <c r="D113">
        <v>39.5</v>
      </c>
      <c r="E113">
        <v>40</v>
      </c>
      <c r="F113">
        <v>39</v>
      </c>
      <c r="G113">
        <v>39</v>
      </c>
      <c r="H113">
        <v>41</v>
      </c>
      <c r="I113" s="5">
        <f>AVERAGE(B113:H113)</f>
        <v>39.714285714285715</v>
      </c>
      <c r="J113">
        <f>MIN(B113:H113)</f>
        <v>39</v>
      </c>
      <c r="K113">
        <f>MAX(B113:H113)</f>
        <v>41</v>
      </c>
    </row>
    <row r="114" spans="1:11" ht="12.75">
      <c r="A114" t="s">
        <v>129</v>
      </c>
      <c r="B114">
        <v>260</v>
      </c>
      <c r="C114">
        <v>266</v>
      </c>
      <c r="D114">
        <v>254</v>
      </c>
      <c r="E114">
        <v>257</v>
      </c>
      <c r="F114">
        <v>269</v>
      </c>
      <c r="G114">
        <v>269</v>
      </c>
      <c r="H114">
        <v>246</v>
      </c>
      <c r="I114" s="3">
        <f>AVERAGE(B114:H114)</f>
        <v>260.14285714285717</v>
      </c>
      <c r="J114">
        <f>MIN(B114:H114)</f>
        <v>246</v>
      </c>
      <c r="K114">
        <f>MAX(B114:H114)</f>
        <v>269</v>
      </c>
    </row>
    <row r="115" spans="1:8" ht="12.75">
      <c r="A115" t="s">
        <v>139</v>
      </c>
      <c r="B115" s="3">
        <f>Св!B18</f>
        <v>90</v>
      </c>
      <c r="C115" s="3">
        <f>Св!C18</f>
        <v>200</v>
      </c>
      <c r="D115" s="3">
        <f>Св!I18</f>
        <v>20</v>
      </c>
      <c r="E115" s="3">
        <f>Св!K18</f>
        <v>30</v>
      </c>
      <c r="F115" s="3">
        <f>Св!G18</f>
        <v>24.444444444444443</v>
      </c>
      <c r="G115" s="3">
        <f>Св!D18</f>
        <v>110</v>
      </c>
      <c r="H115" s="3">
        <f>Св!E18</f>
        <v>80</v>
      </c>
    </row>
    <row r="116" spans="1:8" ht="12.75">
      <c r="A116" t="s">
        <v>140</v>
      </c>
      <c r="B116" s="5">
        <f>Св!B19</f>
        <v>1.9</v>
      </c>
      <c r="C116" s="5">
        <f>Св!C19</f>
        <v>2</v>
      </c>
      <c r="D116" s="5">
        <f>Св!I19</f>
        <v>5.599999999999999</v>
      </c>
      <c r="E116" s="5">
        <f>Св!K19</f>
        <v>2.13</v>
      </c>
      <c r="F116" s="5">
        <f>Св!G19</f>
        <v>1.2650000000000001</v>
      </c>
      <c r="G116" s="5">
        <f>Св!D19</f>
        <v>1.18</v>
      </c>
      <c r="H116" s="5">
        <f>Св!E19</f>
        <v>1.8000000000000003</v>
      </c>
    </row>
    <row r="117" spans="1:8" ht="12.75">
      <c r="A117" t="s">
        <v>141</v>
      </c>
      <c r="B117" s="5">
        <f>Св!B25</f>
        <v>1.0875</v>
      </c>
      <c r="C117" s="5">
        <f>Св!C25</f>
        <v>1.05</v>
      </c>
      <c r="D117" s="5">
        <f>Св!I25</f>
        <v>2.725</v>
      </c>
      <c r="E117" s="5">
        <f>Св!K25</f>
        <v>1.075</v>
      </c>
      <c r="F117" s="5">
        <f>Св!G25</f>
        <v>0.725</v>
      </c>
      <c r="G117" s="5">
        <f>Св!D25</f>
        <v>0.725</v>
      </c>
      <c r="H117" s="5">
        <f>Св!E25</f>
        <v>1.025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7"/>
  <sheetViews>
    <sheetView workbookViewId="0" topLeftCell="A67">
      <selection activeCell="B79" sqref="B79"/>
    </sheetView>
  </sheetViews>
  <sheetFormatPr defaultColWidth="9.00390625" defaultRowHeight="12.75"/>
  <cols>
    <col min="1" max="1" width="29.625" style="0" customWidth="1"/>
    <col min="2" max="16384" width="5.75390625" style="0" customWidth="1"/>
  </cols>
  <sheetData>
    <row r="1" ht="15.75">
      <c r="A1" s="1" t="s">
        <v>142</v>
      </c>
    </row>
    <row r="3" spans="1:5" ht="12.75">
      <c r="A3" t="s">
        <v>143</v>
      </c>
      <c r="E3" s="11" t="s">
        <v>144</v>
      </c>
    </row>
    <row r="5" spans="1:3" s="10" customFormat="1" ht="12.75">
      <c r="A5" s="10" t="s">
        <v>114</v>
      </c>
      <c r="B5" s="10">
        <v>100</v>
      </c>
      <c r="C5" s="10" t="s">
        <v>3</v>
      </c>
    </row>
    <row r="6" spans="1:12" s="10" customFormat="1" ht="12.75">
      <c r="A6" s="10" t="s">
        <v>145</v>
      </c>
      <c r="B6" s="10">
        <v>0.001</v>
      </c>
      <c r="C6" s="10" t="s">
        <v>5</v>
      </c>
      <c r="J6" s="10">
        <v>4.5</v>
      </c>
      <c r="K6" s="10">
        <v>40</v>
      </c>
      <c r="L6" s="10">
        <v>260</v>
      </c>
    </row>
    <row r="7" s="15" customFormat="1" ht="12.75"/>
    <row r="8" spans="1:6" s="15" customFormat="1" ht="12.75">
      <c r="A8" s="15" t="s">
        <v>116</v>
      </c>
      <c r="B8" s="15" t="s">
        <v>117</v>
      </c>
      <c r="C8"/>
      <c r="D8" s="15">
        <f>FЭлКал!C50</f>
        <v>576.6</v>
      </c>
      <c r="E8" s="15" t="s">
        <v>118</v>
      </c>
      <c r="F8" s="15">
        <f>FЭлКал!C49</f>
        <v>-48</v>
      </c>
    </row>
    <row r="9" s="15" customFormat="1" ht="12.75"/>
    <row r="10" s="15" customFormat="1" ht="12.75"/>
    <row r="11" spans="1:2" ht="12.75">
      <c r="A11" s="10" t="s">
        <v>11</v>
      </c>
      <c r="B11" s="10">
        <v>1</v>
      </c>
    </row>
    <row r="12" spans="1:6" s="10" customFormat="1" ht="12.75">
      <c r="A12" s="10" t="s">
        <v>119</v>
      </c>
      <c r="B12" s="10">
        <v>0</v>
      </c>
      <c r="C12" s="10">
        <v>0.5</v>
      </c>
      <c r="D12" s="10">
        <v>1</v>
      </c>
      <c r="E12" s="10">
        <v>2</v>
      </c>
      <c r="F12" s="10">
        <v>5</v>
      </c>
    </row>
    <row r="13" spans="1:6" ht="12.75">
      <c r="A13" t="s">
        <v>120</v>
      </c>
      <c r="B13">
        <f>$B$5+B12</f>
        <v>100</v>
      </c>
      <c r="C13">
        <f>$B$5+C12</f>
        <v>100.5</v>
      </c>
      <c r="D13">
        <f>$B$5+D12</f>
        <v>101</v>
      </c>
      <c r="E13">
        <f>$B$5+E12</f>
        <v>102</v>
      </c>
      <c r="F13">
        <f>$B$5+F12</f>
        <v>105</v>
      </c>
    </row>
    <row r="14" spans="1:22" ht="12.75">
      <c r="A14" t="s">
        <v>121</v>
      </c>
      <c r="B14">
        <f>B12*$B$6/B13*1000</f>
        <v>0</v>
      </c>
      <c r="C14">
        <f>C12*$B$6/C13*1000</f>
        <v>0.004975124378109453</v>
      </c>
      <c r="D14">
        <f>D12*$B$6/D13*1000</f>
        <v>0.009900990099009901</v>
      </c>
      <c r="E14">
        <f>E12*$B$6/E13*1000</f>
        <v>0.0196078431372549</v>
      </c>
      <c r="F14">
        <f>F12*$B$6/F13*1000</f>
        <v>0.04761904761904762</v>
      </c>
      <c r="U14">
        <v>0</v>
      </c>
      <c r="V14">
        <v>0.03</v>
      </c>
    </row>
    <row r="15" spans="1:22" s="10" customFormat="1" ht="12.75">
      <c r="A15" s="10" t="s">
        <v>122</v>
      </c>
      <c r="B15" s="10">
        <v>308</v>
      </c>
      <c r="C15" s="10">
        <v>315</v>
      </c>
      <c r="D15" s="10">
        <v>321</v>
      </c>
      <c r="E15" s="10">
        <v>328</v>
      </c>
      <c r="F15" s="10">
        <v>344</v>
      </c>
      <c r="U15" s="15">
        <v>0</v>
      </c>
      <c r="V15" s="15">
        <v>0.03</v>
      </c>
    </row>
    <row r="16" spans="1:7" ht="12.75">
      <c r="A16" t="s">
        <v>123</v>
      </c>
      <c r="B16" s="5">
        <f>(B15-$D$8)/$F$8</f>
        <v>5.595833333333334</v>
      </c>
      <c r="C16" s="5">
        <f>(C15-$D$8)/$F$8</f>
        <v>5.45</v>
      </c>
      <c r="D16" s="5">
        <f>(D15-$D$8)/$F$8</f>
        <v>5.325</v>
      </c>
      <c r="E16" s="5">
        <f>(E15-$D$8)/$F$8</f>
        <v>5.179166666666667</v>
      </c>
      <c r="F16" s="5">
        <f>(F15-$D$8)/$F$8</f>
        <v>4.845833333333334</v>
      </c>
      <c r="G16" s="5"/>
    </row>
    <row r="17" spans="1:7" ht="12.75">
      <c r="A17" t="s">
        <v>124</v>
      </c>
      <c r="B17" s="6">
        <f>10^(-B16+3)</f>
        <v>0.0025361017087678203</v>
      </c>
      <c r="C17" s="6">
        <f>10^(-C16+3)</f>
        <v>0.003548133892335753</v>
      </c>
      <c r="D17" s="6">
        <f>10^(-D16+3)</f>
        <v>0.004731512589614801</v>
      </c>
      <c r="E17" s="6">
        <f>10^(-E16+3)</f>
        <v>0.006619624174845142</v>
      </c>
      <c r="F17" s="6">
        <f>10^(-F16+3)</f>
        <v>0.014261547957260045</v>
      </c>
      <c r="G17" s="6"/>
    </row>
    <row r="18" spans="1:7" ht="12.75">
      <c r="A18" t="s">
        <v>125</v>
      </c>
      <c r="B18" s="6">
        <f>$B17+B14</f>
        <v>0.0025361017087678203</v>
      </c>
      <c r="C18" s="6">
        <f>$B17+C14</f>
        <v>0.007511226086877273</v>
      </c>
      <c r="D18" s="6">
        <f>$B17+D14</f>
        <v>0.01243709180777772</v>
      </c>
      <c r="E18" s="6">
        <f>$B17+E14</f>
        <v>0.022143944846022723</v>
      </c>
      <c r="F18" s="6">
        <f>$B17+F14</f>
        <v>0.050155149327815444</v>
      </c>
      <c r="G18" s="6"/>
    </row>
    <row r="19" spans="1:7" ht="12.75">
      <c r="A19" t="s">
        <v>126</v>
      </c>
      <c r="B19" s="6">
        <f>(B17-B18)/B18</f>
        <v>0</v>
      </c>
      <c r="C19" s="6">
        <f>(C17-C18)/C18</f>
        <v>-0.5276225410742683</v>
      </c>
      <c r="D19" s="6">
        <f>(D17-D18)/D18</f>
        <v>-0.6195643915198986</v>
      </c>
      <c r="E19" s="6">
        <f>(E17-E18)/E18</f>
        <v>-0.7010639151752541</v>
      </c>
      <c r="F19" s="6">
        <f>(F17-F18)/F18</f>
        <v>-0.7156513708284234</v>
      </c>
      <c r="G19" s="6"/>
    </row>
    <row r="20" spans="2:7" ht="12.75">
      <c r="B20" t="s">
        <v>127</v>
      </c>
      <c r="C20">
        <v>4.83</v>
      </c>
      <c r="D20" t="s">
        <v>128</v>
      </c>
      <c r="E20">
        <v>-60</v>
      </c>
      <c r="F20" t="s">
        <v>129</v>
      </c>
      <c r="G20">
        <v>597</v>
      </c>
    </row>
    <row r="21" spans="1:7" ht="12.75">
      <c r="A21" t="s">
        <v>130</v>
      </c>
      <c r="B21" s="6">
        <f>-LOG(10^-$C20*$B13/B13+B14/1000)</f>
        <v>4.830000000000001</v>
      </c>
      <c r="C21" s="6">
        <f>-LOG(10^-$C20*$B13/C13+C14/1000)</f>
        <v>4.705696482257365</v>
      </c>
      <c r="D21" s="6">
        <f>-LOG(10^-$C20*$B13/D13+D14/1000)</f>
        <v>4.610025858973545</v>
      </c>
      <c r="E21" s="6">
        <f>-LOG(10^-$C20*$B13/E13+E14/1000)</f>
        <v>4.467132212790097</v>
      </c>
      <c r="F21" s="6">
        <f>-LOG(10^-$C20*$B13/F13+F14/1000)</f>
        <v>4.2096740538074915</v>
      </c>
      <c r="G21" s="6"/>
    </row>
    <row r="22" spans="1:7" ht="12.75">
      <c r="A22" t="s">
        <v>81</v>
      </c>
      <c r="B22" s="3">
        <f>$E20*B21+$G20</f>
        <v>307.19999999999993</v>
      </c>
      <c r="C22" s="3">
        <f>$E20*C21+$G20</f>
        <v>314.6582110645581</v>
      </c>
      <c r="D22" s="3">
        <f>$E20*D21+$G20</f>
        <v>320.3984484615873</v>
      </c>
      <c r="E22" s="3">
        <f>$E20*E21+$G20</f>
        <v>328.97206723259416</v>
      </c>
      <c r="F22" s="3">
        <f>$E20*F21+$G20</f>
        <v>344.4195567715505</v>
      </c>
      <c r="G22" s="3"/>
    </row>
    <row r="23" spans="2:5" ht="12.75">
      <c r="B23" s="6"/>
      <c r="C23" s="6"/>
      <c r="D23" s="6"/>
      <c r="E23" s="6"/>
    </row>
    <row r="24" spans="1:2" ht="12.75">
      <c r="A24" s="10" t="s">
        <v>11</v>
      </c>
      <c r="B24" s="10">
        <v>2</v>
      </c>
    </row>
    <row r="25" spans="1:6" s="10" customFormat="1" ht="12.75">
      <c r="A25" s="10" t="s">
        <v>119</v>
      </c>
      <c r="B25" s="10">
        <v>0</v>
      </c>
      <c r="C25" s="10">
        <v>0.5</v>
      </c>
      <c r="D25" s="10">
        <v>1.5</v>
      </c>
      <c r="E25" s="10">
        <v>2</v>
      </c>
      <c r="F25" s="10">
        <v>5</v>
      </c>
    </row>
    <row r="26" spans="1:6" ht="12.75">
      <c r="A26" t="s">
        <v>120</v>
      </c>
      <c r="B26">
        <f>$B$5+B25</f>
        <v>100</v>
      </c>
      <c r="C26">
        <f>$B$5+C25</f>
        <v>100.5</v>
      </c>
      <c r="D26">
        <f>$B$5+D25</f>
        <v>101.5</v>
      </c>
      <c r="E26">
        <f>$B$5+E25</f>
        <v>102</v>
      </c>
      <c r="F26">
        <f>$B$5+F25</f>
        <v>105</v>
      </c>
    </row>
    <row r="27" spans="1:6" ht="12.75">
      <c r="A27" t="s">
        <v>121</v>
      </c>
      <c r="B27">
        <f>B25*$B$6/B26*1000</f>
        <v>0</v>
      </c>
      <c r="C27">
        <f>C25*$B$6/C26*1000</f>
        <v>0.004975124378109453</v>
      </c>
      <c r="D27">
        <f>D25*$B$6/D26*1000</f>
        <v>0.014778325123152709</v>
      </c>
      <c r="E27">
        <f>E25*$B$6/E26*1000</f>
        <v>0.0196078431372549</v>
      </c>
      <c r="F27">
        <f>F25*$B$6/F26*1000</f>
        <v>0.04761904761904762</v>
      </c>
    </row>
    <row r="28" spans="1:6" s="10" customFormat="1" ht="12.75">
      <c r="A28" s="10" t="s">
        <v>122</v>
      </c>
      <c r="B28" s="10">
        <v>318</v>
      </c>
      <c r="C28" s="10">
        <v>321</v>
      </c>
      <c r="D28" s="10">
        <v>329</v>
      </c>
      <c r="E28" s="10">
        <v>332</v>
      </c>
      <c r="F28" s="10">
        <v>346</v>
      </c>
    </row>
    <row r="29" spans="1:7" ht="12.75">
      <c r="A29" t="s">
        <v>131</v>
      </c>
      <c r="B29" s="5">
        <f>(B28-$D$8)/$F$8</f>
        <v>5.3875</v>
      </c>
      <c r="C29" s="5">
        <f>(C28-$D$8)/$F$8</f>
        <v>5.325</v>
      </c>
      <c r="D29" s="5">
        <f>(D28-$D$8)/$F$8</f>
        <v>5.158333333333334</v>
      </c>
      <c r="E29" s="5">
        <f>(E28-$D$8)/$F$8</f>
        <v>5.095833333333334</v>
      </c>
      <c r="F29" s="5">
        <f>(F28-$D$8)/$F$8</f>
        <v>4.804166666666667</v>
      </c>
      <c r="G29" s="5"/>
    </row>
    <row r="30" spans="1:7" ht="12.75">
      <c r="A30" t="s">
        <v>132</v>
      </c>
      <c r="B30" s="6">
        <f>10^(-B29+3)</f>
        <v>0.0040973210981354105</v>
      </c>
      <c r="C30" s="6">
        <f>10^(-C29+3)</f>
        <v>0.004731512589614801</v>
      </c>
      <c r="D30" s="6">
        <f>10^(-D29+3)</f>
        <v>0.006944910713781197</v>
      </c>
      <c r="E30" s="6">
        <f>10^(-E29+3)</f>
        <v>0.008019857777551334</v>
      </c>
      <c r="F30" s="6">
        <f>10^(-F29+3)</f>
        <v>0.01569760270959</v>
      </c>
      <c r="G30" s="6"/>
    </row>
    <row r="31" spans="1:7" ht="12.75">
      <c r="A31" t="s">
        <v>125</v>
      </c>
      <c r="B31" s="6">
        <f>$B30+B27</f>
        <v>0.0040973210981354105</v>
      </c>
      <c r="C31" s="6">
        <f>$B30+C27</f>
        <v>0.009072445476244863</v>
      </c>
      <c r="D31" s="6">
        <f>$B30+D27</f>
        <v>0.01887564622128812</v>
      </c>
      <c r="E31" s="6">
        <f>$B30+E27</f>
        <v>0.023705164235390312</v>
      </c>
      <c r="F31" s="6">
        <f>$B30+F27</f>
        <v>0.051716368717183034</v>
      </c>
      <c r="G31" s="6"/>
    </row>
    <row r="32" spans="1:6" ht="12.75">
      <c r="A32" t="s">
        <v>126</v>
      </c>
      <c r="B32">
        <f>(B30-B31)/B31</f>
        <v>0</v>
      </c>
      <c r="C32">
        <f>(C30-C31)/C31</f>
        <v>-0.4784743978893328</v>
      </c>
      <c r="D32">
        <f>(D30-D31)/D31</f>
        <v>-0.6320703072963582</v>
      </c>
      <c r="E32">
        <f>(E30-E31)/E31</f>
        <v>-0.661683095804998</v>
      </c>
      <c r="F32">
        <f>(F30-F31)/F31</f>
        <v>-0.6964674222307803</v>
      </c>
    </row>
    <row r="33" spans="2:7" ht="12.75">
      <c r="B33" t="s">
        <v>127</v>
      </c>
      <c r="C33">
        <v>4.15</v>
      </c>
      <c r="D33" t="s">
        <v>128</v>
      </c>
      <c r="E33">
        <v>-120</v>
      </c>
      <c r="F33" t="s">
        <v>129</v>
      </c>
      <c r="G33">
        <v>817</v>
      </c>
    </row>
    <row r="34" spans="1:7" ht="12.75">
      <c r="A34" t="s">
        <v>130</v>
      </c>
      <c r="B34" s="6">
        <f>-LOG(10^-$C33*$B26/B26+B27/1000)</f>
        <v>4.15</v>
      </c>
      <c r="C34" s="6">
        <f>-LOG(10^-$C33*$B26/C26+C27/1000)</f>
        <v>4.122527919956756</v>
      </c>
      <c r="D34" s="6">
        <f>-LOG(10^-$C33*$B26/D26+D27/1000)</f>
        <v>4.07300619762516</v>
      </c>
      <c r="E34" s="6">
        <f>-LOG(10^-$C33*$B26/E26+E27/1000)</f>
        <v>4.050540255229564</v>
      </c>
      <c r="F34" s="6">
        <f>-LOG(10^-$C33*$B26/F26+F27/1000)</f>
        <v>3.939141856565608</v>
      </c>
      <c r="G34" s="6"/>
    </row>
    <row r="35" spans="1:7" ht="12.75">
      <c r="A35" t="s">
        <v>81</v>
      </c>
      <c r="B35" s="3">
        <f>$E33*B34+$G33</f>
        <v>318.99999999999994</v>
      </c>
      <c r="C35" s="3">
        <f>$E33*C34+$G33</f>
        <v>322.29664960518926</v>
      </c>
      <c r="D35" s="3">
        <f>$E33*D34+$G33</f>
        <v>328.2392562849808</v>
      </c>
      <c r="E35" s="3">
        <f>$E33*E34+$G33</f>
        <v>330.93516937245226</v>
      </c>
      <c r="F35" s="3">
        <f>$E33*F34+$G33</f>
        <v>344.302977212127</v>
      </c>
      <c r="G35" s="3"/>
    </row>
    <row r="38" spans="1:2" ht="12.75">
      <c r="A38" s="10" t="s">
        <v>11</v>
      </c>
      <c r="B38" s="10" t="s">
        <v>13</v>
      </c>
    </row>
    <row r="39" spans="1:7" s="10" customFormat="1" ht="12.75">
      <c r="A39" s="10" t="s">
        <v>119</v>
      </c>
      <c r="B39" s="10">
        <v>0</v>
      </c>
      <c r="C39" s="10">
        <v>0.001</v>
      </c>
      <c r="D39" s="10">
        <v>0.5</v>
      </c>
      <c r="E39" s="10">
        <v>1</v>
      </c>
      <c r="F39" s="10">
        <v>2</v>
      </c>
      <c r="G39" s="10">
        <v>5</v>
      </c>
    </row>
    <row r="40" spans="1:7" ht="12.75">
      <c r="A40" t="s">
        <v>120</v>
      </c>
      <c r="B40">
        <f aca="true" t="shared" si="0" ref="B40:G40">$B$5+B39</f>
        <v>100</v>
      </c>
      <c r="C40">
        <f t="shared" si="0"/>
        <v>100.001</v>
      </c>
      <c r="D40">
        <f t="shared" si="0"/>
        <v>100.5</v>
      </c>
      <c r="E40">
        <f t="shared" si="0"/>
        <v>101</v>
      </c>
      <c r="F40">
        <f t="shared" si="0"/>
        <v>102</v>
      </c>
      <c r="G40">
        <f t="shared" si="0"/>
        <v>105</v>
      </c>
    </row>
    <row r="41" spans="1:7" ht="12.75">
      <c r="A41" t="s">
        <v>121</v>
      </c>
      <c r="B41">
        <f aca="true" t="shared" si="1" ref="B41:G41">B39*$B$6/B40*1000</f>
        <v>0</v>
      </c>
      <c r="C41">
        <f t="shared" si="1"/>
        <v>9.999900000999989E-06</v>
      </c>
      <c r="D41">
        <f t="shared" si="1"/>
        <v>0.004975124378109453</v>
      </c>
      <c r="E41">
        <f t="shared" si="1"/>
        <v>0.009900990099009901</v>
      </c>
      <c r="F41">
        <f t="shared" si="1"/>
        <v>0.0196078431372549</v>
      </c>
      <c r="G41">
        <f t="shared" si="1"/>
        <v>0.04761904761904762</v>
      </c>
    </row>
    <row r="42" spans="1:7" s="10" customFormat="1" ht="12.75">
      <c r="A42" s="10" t="s">
        <v>122</v>
      </c>
      <c r="B42" s="10">
        <v>311</v>
      </c>
      <c r="C42" s="10">
        <v>311</v>
      </c>
      <c r="D42" s="10">
        <v>315</v>
      </c>
      <c r="E42" s="10">
        <v>320</v>
      </c>
      <c r="F42" s="10">
        <v>330</v>
      </c>
      <c r="G42" s="10">
        <v>346</v>
      </c>
    </row>
    <row r="43" spans="1:9" ht="12.75">
      <c r="A43" t="s">
        <v>131</v>
      </c>
      <c r="B43" s="5">
        <f>(B42-$D$8)/$F$8</f>
        <v>5.533333333333334</v>
      </c>
      <c r="C43" s="5"/>
      <c r="D43" s="5">
        <f>(D42-$D$8)/$F$8</f>
        <v>5.45</v>
      </c>
      <c r="E43" s="5">
        <f>(E42-$D$8)/$F$8</f>
        <v>5.345833333333334</v>
      </c>
      <c r="F43" s="5">
        <f>(F42-$D$8)/$F$8</f>
        <v>5.1375</v>
      </c>
      <c r="G43" s="5">
        <f>(G42-$D$8)/$F$8</f>
        <v>4.804166666666667</v>
      </c>
      <c r="H43" s="5"/>
      <c r="I43" s="5"/>
    </row>
    <row r="44" spans="1:9" ht="12.75">
      <c r="A44" t="s">
        <v>132</v>
      </c>
      <c r="B44" s="6">
        <f>10^(-B43+3)</f>
        <v>0.00292864456462523</v>
      </c>
      <c r="C44" s="6"/>
      <c r="D44" s="6">
        <f>10^(-D43+3)</f>
        <v>0.003548133892335753</v>
      </c>
      <c r="E44" s="6">
        <f>10^(-E43+3)</f>
        <v>0.004509897450466344</v>
      </c>
      <c r="F44" s="6">
        <f>10^(-F43+3)</f>
        <v>0.007286181745132271</v>
      </c>
      <c r="G44" s="6">
        <f>10^(-G43+3)</f>
        <v>0.01569760270959</v>
      </c>
      <c r="H44" s="6"/>
      <c r="I44" s="6"/>
    </row>
    <row r="45" spans="1:9" ht="12.75">
      <c r="A45" t="s">
        <v>125</v>
      </c>
      <c r="B45" s="6">
        <f>$B44+B41</f>
        <v>0.00292864456462523</v>
      </c>
      <c r="C45" s="6"/>
      <c r="D45" s="6">
        <f>$B44+D41</f>
        <v>0.007903768942734682</v>
      </c>
      <c r="E45" s="6">
        <f>$B44+E41</f>
        <v>0.01282963466363513</v>
      </c>
      <c r="F45" s="6">
        <f>$B44+F41</f>
        <v>0.02253648770188013</v>
      </c>
      <c r="G45" s="6">
        <f>$B44+G41</f>
        <v>0.05054769218367285</v>
      </c>
      <c r="H45" s="6"/>
      <c r="I45" s="6"/>
    </row>
    <row r="46" spans="1:9" ht="12.75">
      <c r="A46" t="s">
        <v>126</v>
      </c>
      <c r="B46" s="6">
        <f>(B44-B45)/B45</f>
        <v>0</v>
      </c>
      <c r="C46" s="6"/>
      <c r="D46" s="6">
        <f>(D44-D45)/D45</f>
        <v>-0.5510832973429373</v>
      </c>
      <c r="E46" s="6">
        <f>(E44-E45)/E45</f>
        <v>-0.6484781080127409</v>
      </c>
      <c r="F46" s="6">
        <f>(F44-F45)/F45</f>
        <v>-0.6766939976842792</v>
      </c>
      <c r="G46" s="6">
        <f>(G44-G45)/G45</f>
        <v>-0.6894496656236979</v>
      </c>
      <c r="H46" s="6"/>
      <c r="I46" s="6"/>
    </row>
    <row r="47" spans="2:8" ht="12.75">
      <c r="B47" t="s">
        <v>127</v>
      </c>
      <c r="D47" s="5">
        <v>4.3</v>
      </c>
      <c r="E47" t="s">
        <v>128</v>
      </c>
      <c r="F47">
        <v>-130</v>
      </c>
      <c r="G47" t="s">
        <v>129</v>
      </c>
      <c r="H47">
        <v>870</v>
      </c>
    </row>
    <row r="48" spans="1:9" ht="12.75">
      <c r="A48" t="s">
        <v>130</v>
      </c>
      <c r="B48" s="6">
        <f aca="true" t="shared" si="2" ref="B48:G48">-LOG(10^-$D47*$B40/B40+B41/1000)</f>
        <v>4.3</v>
      </c>
      <c r="C48" s="6">
        <f t="shared" si="2"/>
        <v>4.299917698425408</v>
      </c>
      <c r="D48" s="6">
        <f t="shared" si="2"/>
        <v>4.260866911691186</v>
      </c>
      <c r="E48" s="6">
        <f t="shared" si="2"/>
        <v>4.225311624130076</v>
      </c>
      <c r="F48" s="6">
        <f t="shared" si="2"/>
        <v>4.162766171379096</v>
      </c>
      <c r="G48" s="6">
        <f t="shared" si="2"/>
        <v>4.020673995889024</v>
      </c>
      <c r="H48" s="6"/>
      <c r="I48" s="6"/>
    </row>
    <row r="49" spans="1:9" ht="12.75">
      <c r="A49" t="s">
        <v>81</v>
      </c>
      <c r="B49" s="3">
        <f aca="true" t="shared" si="3" ref="B49:G49">$F47*B48+$H47</f>
        <v>311</v>
      </c>
      <c r="C49" s="3">
        <f t="shared" si="3"/>
        <v>311.01069920469695</v>
      </c>
      <c r="D49" s="3">
        <f t="shared" si="3"/>
        <v>316.0873014801458</v>
      </c>
      <c r="E49" s="3">
        <f t="shared" si="3"/>
        <v>320.7094888630901</v>
      </c>
      <c r="F49" s="3">
        <f t="shared" si="3"/>
        <v>328.84039772071753</v>
      </c>
      <c r="G49" s="3">
        <f t="shared" si="3"/>
        <v>347.3123805344269</v>
      </c>
      <c r="H49" s="3"/>
      <c r="I49" s="3"/>
    </row>
    <row r="50" spans="9:11" ht="12.75">
      <c r="I50">
        <v>4.3</v>
      </c>
      <c r="J50">
        <v>-130</v>
      </c>
      <c r="K50">
        <v>870</v>
      </c>
    </row>
    <row r="52" spans="1:7" s="10" customFormat="1" ht="12.75">
      <c r="A52" s="10" t="s">
        <v>11</v>
      </c>
      <c r="B52" s="10" t="s">
        <v>12</v>
      </c>
      <c r="C52"/>
      <c r="D52"/>
      <c r="E52"/>
      <c r="F52"/>
      <c r="G52"/>
    </row>
    <row r="53" spans="1:7" ht="12.75">
      <c r="A53" s="10" t="s">
        <v>119</v>
      </c>
      <c r="B53" s="10">
        <v>0</v>
      </c>
      <c r="C53" s="10">
        <v>0.5</v>
      </c>
      <c r="D53" s="10">
        <v>1</v>
      </c>
      <c r="E53" s="10">
        <v>2</v>
      </c>
      <c r="F53" s="10">
        <v>5</v>
      </c>
      <c r="G53" s="10"/>
    </row>
    <row r="54" spans="1:6" ht="12.75">
      <c r="A54" t="s">
        <v>120</v>
      </c>
      <c r="B54">
        <f>$B$5+B53</f>
        <v>100</v>
      </c>
      <c r="C54">
        <f>$B$5+C53</f>
        <v>100.5</v>
      </c>
      <c r="D54">
        <f>$B$5+D53</f>
        <v>101</v>
      </c>
      <c r="E54">
        <f>$B$5+E53</f>
        <v>102</v>
      </c>
      <c r="F54">
        <f>$B$5+F53</f>
        <v>105</v>
      </c>
    </row>
    <row r="55" spans="1:7" s="10" customFormat="1" ht="12.75">
      <c r="A55" t="s">
        <v>121</v>
      </c>
      <c r="B55">
        <f>B53*$B$6/B54*1000</f>
        <v>0</v>
      </c>
      <c r="C55">
        <f>C53*$B$6/C54*1000</f>
        <v>0.004975124378109453</v>
      </c>
      <c r="D55">
        <f>D53*$B$6/D54*1000</f>
        <v>0.009900990099009901</v>
      </c>
      <c r="E55">
        <f>E53*$B$6/E54*1000</f>
        <v>0.0196078431372549</v>
      </c>
      <c r="F55">
        <f>F53*$B$6/F54*1000</f>
        <v>0.04761904761904762</v>
      </c>
      <c r="G55"/>
    </row>
    <row r="56" spans="1:8" ht="12.75">
      <c r="A56" s="10" t="s">
        <v>122</v>
      </c>
      <c r="B56" s="10">
        <v>330</v>
      </c>
      <c r="C56" s="10">
        <v>332</v>
      </c>
      <c r="D56" s="10">
        <v>335</v>
      </c>
      <c r="E56" s="10">
        <v>340</v>
      </c>
      <c r="F56" s="10">
        <v>352</v>
      </c>
      <c r="G56" s="10"/>
      <c r="H56" s="5"/>
    </row>
    <row r="57" spans="1:8" ht="12.75">
      <c r="A57" t="s">
        <v>131</v>
      </c>
      <c r="B57" s="5">
        <f>(B56-$D$8)/$F$8</f>
        <v>5.1375</v>
      </c>
      <c r="C57" s="5">
        <f>(C56-$D$8)/$F$8</f>
        <v>5.095833333333334</v>
      </c>
      <c r="D57" s="5">
        <f>(D56-$D$8)/$F$8</f>
        <v>5.033333333333334</v>
      </c>
      <c r="E57" s="5">
        <f>(E56-$D$8)/$F$8</f>
        <v>4.929166666666667</v>
      </c>
      <c r="F57" s="5">
        <f>(F56-$D$8)/$F$8</f>
        <v>4.679166666666667</v>
      </c>
      <c r="G57" s="5"/>
      <c r="H57" s="6"/>
    </row>
    <row r="58" spans="1:8" ht="12.75">
      <c r="A58" t="s">
        <v>132</v>
      </c>
      <c r="B58" s="6">
        <f>10^(-B57+3)</f>
        <v>0.007286181745132271</v>
      </c>
      <c r="C58" s="6">
        <f>10^(-C57+3)</f>
        <v>0.008019857777551334</v>
      </c>
      <c r="D58" s="6">
        <f>10^(-D57+3)</f>
        <v>0.009261187281287912</v>
      </c>
      <c r="E58" s="6">
        <f>10^(-E57+3)</f>
        <v>0.011771541372323013</v>
      </c>
      <c r="F58" s="6">
        <f>10^(-F57+3)</f>
        <v>0.020933089646823336</v>
      </c>
      <c r="G58" s="6"/>
      <c r="H58" s="6"/>
    </row>
    <row r="59" spans="1:8" ht="12.75">
      <c r="A59" t="s">
        <v>125</v>
      </c>
      <c r="B59" s="6">
        <f>$B58+B55</f>
        <v>0.007286181745132271</v>
      </c>
      <c r="C59" s="6">
        <f>$B58+C55</f>
        <v>0.012261306123241724</v>
      </c>
      <c r="D59" s="6">
        <f>$B58+D55</f>
        <v>0.017187171844142174</v>
      </c>
      <c r="E59" s="6">
        <f>$B58+E55</f>
        <v>0.026894024882387173</v>
      </c>
      <c r="F59" s="6">
        <f>$B58+F55</f>
        <v>0.054905229364179894</v>
      </c>
      <c r="G59" s="6"/>
      <c r="H59" s="6"/>
    </row>
    <row r="60" spans="1:7" ht="12.75">
      <c r="A60" t="s">
        <v>126</v>
      </c>
      <c r="B60" s="6">
        <f>(B58-B59)/B59</f>
        <v>0</v>
      </c>
      <c r="C60" s="6">
        <f>(C58-C59)/C59</f>
        <v>-0.34592141351487665</v>
      </c>
      <c r="D60" s="6">
        <f>(D58-D59)/D59</f>
        <v>-0.4611569974821448</v>
      </c>
      <c r="E60" s="6">
        <f>(E58-E59)/E59</f>
        <v>-0.5622990079096652</v>
      </c>
      <c r="F60" s="6">
        <f>(F58-F59)/F59</f>
        <v>-0.6187414224612992</v>
      </c>
      <c r="G60" s="6"/>
    </row>
    <row r="61" spans="2:7" ht="12.75">
      <c r="B61" t="s">
        <v>127</v>
      </c>
      <c r="C61">
        <v>4</v>
      </c>
      <c r="D61" t="s">
        <v>128</v>
      </c>
      <c r="E61">
        <v>-140</v>
      </c>
      <c r="F61" t="s">
        <v>129</v>
      </c>
      <c r="G61">
        <v>890</v>
      </c>
    </row>
    <row r="62" spans="1:7" ht="12.75">
      <c r="A62" t="s">
        <v>130</v>
      </c>
      <c r="B62" s="6">
        <f>-LOG(10^-$C61*$B54/B54+B55/1000)</f>
        <v>4</v>
      </c>
      <c r="C62" s="6">
        <f>-LOG(10^-$C61*$B54/C54+C55/1000)</f>
        <v>3.9809767626865695</v>
      </c>
      <c r="D62" s="6">
        <f>-LOG(10^-$C61*$B54/D54+D55/1000)</f>
        <v>3.9629286886244177</v>
      </c>
      <c r="E62" s="6">
        <f>-LOG(10^-$C61*$B54/E54+E55/1000)</f>
        <v>3.929418925714293</v>
      </c>
      <c r="F62" s="6">
        <f>-LOG(10^-$C61*$B54/F54+F55/1000)</f>
        <v>3.845098040014257</v>
      </c>
      <c r="G62" s="6"/>
    </row>
    <row r="63" spans="1:7" s="10" customFormat="1" ht="12.75">
      <c r="A63" t="s">
        <v>81</v>
      </c>
      <c r="B63" s="3">
        <f>$E61*B62+$G61</f>
        <v>330</v>
      </c>
      <c r="C63" s="3">
        <f>$E61*C62+$G61</f>
        <v>332.66325322388025</v>
      </c>
      <c r="D63" s="3">
        <f>$E61*D62+$G61</f>
        <v>335.1899835925815</v>
      </c>
      <c r="E63" s="3">
        <f>$E61*E62+$G61</f>
        <v>339.88135039999895</v>
      </c>
      <c r="F63" s="3">
        <f>$E61*F62+$G61</f>
        <v>351.686274398004</v>
      </c>
      <c r="G63" s="3"/>
    </row>
    <row r="64" spans="2:6" ht="12.75">
      <c r="B64" s="13"/>
      <c r="C64" s="13"/>
      <c r="D64" s="13"/>
      <c r="E64" s="13"/>
      <c r="F64" s="13"/>
    </row>
    <row r="66" spans="1:7" s="10" customFormat="1" ht="12.75">
      <c r="A66" s="10" t="s">
        <v>11</v>
      </c>
      <c r="B66" s="10">
        <v>11</v>
      </c>
      <c r="C66"/>
      <c r="D66"/>
      <c r="E66"/>
      <c r="F66"/>
      <c r="G66"/>
    </row>
    <row r="67" spans="1:8" ht="12.75">
      <c r="A67" s="10" t="s">
        <v>119</v>
      </c>
      <c r="B67" s="10">
        <v>0</v>
      </c>
      <c r="C67" s="10">
        <v>0.5</v>
      </c>
      <c r="D67" s="10">
        <v>1</v>
      </c>
      <c r="E67" s="10">
        <v>2</v>
      </c>
      <c r="F67" s="10">
        <v>5</v>
      </c>
      <c r="G67" s="10"/>
      <c r="H67" s="5"/>
    </row>
    <row r="68" spans="1:8" ht="12.75">
      <c r="A68" t="s">
        <v>120</v>
      </c>
      <c r="B68">
        <f>$B$5+B67</f>
        <v>100</v>
      </c>
      <c r="C68">
        <f>$B$5+C67</f>
        <v>100.5</v>
      </c>
      <c r="D68">
        <f>$B$5+D67</f>
        <v>101</v>
      </c>
      <c r="E68">
        <f>$B$5+E67</f>
        <v>102</v>
      </c>
      <c r="F68">
        <f>$B$5+F67</f>
        <v>105</v>
      </c>
      <c r="H68" s="6"/>
    </row>
    <row r="69" spans="1:8" ht="12.75">
      <c r="A69" t="s">
        <v>121</v>
      </c>
      <c r="B69">
        <f>B67*$B$6/B68*1000</f>
        <v>0</v>
      </c>
      <c r="C69">
        <f>C67*$B$6/C68*1000</f>
        <v>0.004975124378109453</v>
      </c>
      <c r="D69">
        <f>D67*$B$6/D68*1000</f>
        <v>0.009900990099009901</v>
      </c>
      <c r="E69">
        <f>E67*$B$6/E68*1000</f>
        <v>0.0196078431372549</v>
      </c>
      <c r="F69">
        <f>F67*$B$6/F68*1000</f>
        <v>0.04761904761904762</v>
      </c>
      <c r="H69" s="6"/>
    </row>
    <row r="70" spans="1:7" ht="12.75">
      <c r="A70" s="10" t="s">
        <v>122</v>
      </c>
      <c r="B70" s="10">
        <v>297</v>
      </c>
      <c r="C70" s="10">
        <v>301</v>
      </c>
      <c r="D70" s="10">
        <v>310</v>
      </c>
      <c r="E70" s="10">
        <v>318</v>
      </c>
      <c r="F70" s="10">
        <v>338</v>
      </c>
      <c r="G70" s="10"/>
    </row>
    <row r="71" spans="1:7" ht="12.75">
      <c r="A71" t="s">
        <v>131</v>
      </c>
      <c r="B71" s="5">
        <f>(B70-$D$8)/$F$8</f>
        <v>5.825</v>
      </c>
      <c r="C71" s="5">
        <f>(C70-$D$8)/$F$8</f>
        <v>5.741666666666667</v>
      </c>
      <c r="D71" s="5">
        <f>(D70-$D$8)/$F$8</f>
        <v>5.554166666666667</v>
      </c>
      <c r="E71" s="5">
        <f>(E70-$D$8)/$F$8</f>
        <v>5.3875</v>
      </c>
      <c r="F71" s="5">
        <f>(F70-$D$8)/$F$8</f>
        <v>4.970833333333334</v>
      </c>
      <c r="G71" s="5"/>
    </row>
    <row r="72" spans="1:7" ht="12.75">
      <c r="A72" t="s">
        <v>132</v>
      </c>
      <c r="B72" s="6">
        <f>10^(-B71+3)</f>
        <v>0.0014962356560944312</v>
      </c>
      <c r="C72" s="6">
        <f>10^(-C71+3)</f>
        <v>0.0018127308811846958</v>
      </c>
      <c r="D72" s="6">
        <f>10^(-D71+3)</f>
        <v>0.00279147236854351</v>
      </c>
      <c r="E72" s="6">
        <f>10^(-E71+3)</f>
        <v>0.0040973210981354105</v>
      </c>
      <c r="F72" s="6">
        <f>10^(-F71+3)</f>
        <v>0.010694652229266424</v>
      </c>
      <c r="G72" s="6"/>
    </row>
    <row r="73" spans="1:7" ht="12.75">
      <c r="A73" t="s">
        <v>125</v>
      </c>
      <c r="B73" s="6">
        <f>$B72+B69</f>
        <v>0.0014962356560944312</v>
      </c>
      <c r="C73" s="6">
        <f>$B72+C69</f>
        <v>0.0064713600342038834</v>
      </c>
      <c r="D73" s="6">
        <f>$B72+D69</f>
        <v>0.011397225755104332</v>
      </c>
      <c r="E73" s="6">
        <f>$B72+E69</f>
        <v>0.021104078793349332</v>
      </c>
      <c r="F73" s="6">
        <f>$B72+F69</f>
        <v>0.04911528327514206</v>
      </c>
      <c r="G73" s="6"/>
    </row>
    <row r="74" spans="1:7" s="10" customFormat="1" ht="12.75">
      <c r="A74" t="s">
        <v>126</v>
      </c>
      <c r="B74" s="6">
        <f>(B72-B73)/B73</f>
        <v>0</v>
      </c>
      <c r="C74" s="6">
        <f>(C72-C73)/C73</f>
        <v>-0.7198840936675376</v>
      </c>
      <c r="D74" s="6">
        <f>(D72-D73)/D73</f>
        <v>-0.755074398934905</v>
      </c>
      <c r="E74" s="6">
        <f>(E72-E73)/E73</f>
        <v>-0.8058516963352778</v>
      </c>
      <c r="F74" s="6">
        <f>(F72-F73)/F73</f>
        <v>-0.7822540863837563</v>
      </c>
      <c r="G74" s="6"/>
    </row>
    <row r="75" spans="2:7" ht="12.75">
      <c r="B75" t="s">
        <v>127</v>
      </c>
      <c r="C75">
        <v>4.35</v>
      </c>
      <c r="D75" t="s">
        <v>128</v>
      </c>
      <c r="E75">
        <v>-140</v>
      </c>
      <c r="F75" t="s">
        <v>129</v>
      </c>
      <c r="G75">
        <v>905</v>
      </c>
    </row>
    <row r="76" spans="1:7" ht="12.75">
      <c r="A76" t="s">
        <v>130</v>
      </c>
      <c r="B76" s="6">
        <f>-LOG(10^-$C75*$B68/B68+B69/1000)</f>
        <v>4.35</v>
      </c>
      <c r="C76" s="6">
        <f>-LOG(10^-$C75*$B68/C68+C69/1000)</f>
        <v>4.306086248360833</v>
      </c>
      <c r="D76" s="6">
        <f>-LOG(10^-$C75*$B68/D68+D69/1000)</f>
        <v>4.266585334361967</v>
      </c>
      <c r="E76" s="6">
        <f>-LOG(10^-$C75*$B68/E68+E69/1000)</f>
        <v>4.1979083297241795</v>
      </c>
      <c r="F76" s="6">
        <f>-LOG(10^-$C75*$B68/F68+F69/1000)</f>
        <v>4.044984449046728</v>
      </c>
      <c r="G76" s="6"/>
    </row>
    <row r="77" spans="1:7" s="10" customFormat="1" ht="12.75">
      <c r="A77" t="s">
        <v>81</v>
      </c>
      <c r="B77" s="3">
        <f>$E75*B76+$G75</f>
        <v>296</v>
      </c>
      <c r="C77" s="3">
        <f>$E75*C76+$G75</f>
        <v>302.14792522948335</v>
      </c>
      <c r="D77" s="3">
        <f>$E75*D76+$G75</f>
        <v>307.6780531893247</v>
      </c>
      <c r="E77" s="3">
        <f>$E75*E76+$G75</f>
        <v>317.2928338386149</v>
      </c>
      <c r="F77" s="3">
        <f>$E75*F76+$G75</f>
        <v>338.702177133458</v>
      </c>
      <c r="G77" s="3"/>
    </row>
    <row r="80" spans="1:7" s="10" customFormat="1" ht="12.75">
      <c r="A80" s="10" t="s">
        <v>11</v>
      </c>
      <c r="B80" s="10">
        <v>5</v>
      </c>
      <c r="C80"/>
      <c r="D80"/>
      <c r="E80"/>
      <c r="F80"/>
      <c r="G80"/>
    </row>
    <row r="81" spans="1:8" ht="12.75">
      <c r="A81" s="10" t="s">
        <v>119</v>
      </c>
      <c r="B81" s="10">
        <v>0</v>
      </c>
      <c r="C81" s="10">
        <v>0.5</v>
      </c>
      <c r="D81" s="10">
        <v>1</v>
      </c>
      <c r="E81" s="10">
        <v>2</v>
      </c>
      <c r="F81" s="10">
        <v>5</v>
      </c>
      <c r="G81" s="10"/>
      <c r="H81" s="5"/>
    </row>
    <row r="82" spans="1:8" ht="12.75">
      <c r="A82" t="s">
        <v>120</v>
      </c>
      <c r="B82">
        <f>$B$5+B81</f>
        <v>100</v>
      </c>
      <c r="C82">
        <f>$B$5+C81</f>
        <v>100.5</v>
      </c>
      <c r="D82">
        <f>$B$5+D81</f>
        <v>101</v>
      </c>
      <c r="E82">
        <f>$B$5+E81</f>
        <v>102</v>
      </c>
      <c r="F82">
        <f>$B$5+F81</f>
        <v>105</v>
      </c>
      <c r="H82" s="6"/>
    </row>
    <row r="83" spans="1:8" ht="12.75">
      <c r="A83" t="s">
        <v>121</v>
      </c>
      <c r="B83">
        <f>B81*$B$6/B82*1000</f>
        <v>0</v>
      </c>
      <c r="C83">
        <f>C81*$B$6/C82*1000</f>
        <v>0.004975124378109453</v>
      </c>
      <c r="D83">
        <f>D81*$B$6/D82*1000</f>
        <v>0.009900990099009901</v>
      </c>
      <c r="E83">
        <f>E81*$B$6/E82*1000</f>
        <v>0.0196078431372549</v>
      </c>
      <c r="F83">
        <f>F81*$B$6/F82*1000</f>
        <v>0.04761904761904762</v>
      </c>
      <c r="H83" s="6"/>
    </row>
    <row r="84" spans="1:7" ht="12.75">
      <c r="A84" s="10" t="s">
        <v>122</v>
      </c>
      <c r="B84" s="10">
        <v>293</v>
      </c>
      <c r="C84" s="10">
        <v>312</v>
      </c>
      <c r="D84" s="10">
        <v>314</v>
      </c>
      <c r="E84" s="10">
        <v>325</v>
      </c>
      <c r="F84" s="10">
        <v>335</v>
      </c>
      <c r="G84" s="10"/>
    </row>
    <row r="85" spans="1:7" ht="12.75">
      <c r="A85" t="s">
        <v>131</v>
      </c>
      <c r="B85" s="5">
        <f>(B84-$D$8)/$F$8</f>
        <v>5.908333333333334</v>
      </c>
      <c r="C85" s="5">
        <f>(C84-$D$8)/$F$8</f>
        <v>5.5125</v>
      </c>
      <c r="D85" s="5">
        <f>(D84-$D$8)/$F$8</f>
        <v>5.470833333333334</v>
      </c>
      <c r="E85" s="5">
        <f>(E84-$D$8)/$F$8</f>
        <v>5.241666666666667</v>
      </c>
      <c r="F85" s="5">
        <f>(F84-$D$8)/$F$8</f>
        <v>5.033333333333334</v>
      </c>
      <c r="G85" s="5"/>
    </row>
    <row r="86" spans="1:7" ht="12.75">
      <c r="A86" t="s">
        <v>132</v>
      </c>
      <c r="B86" s="6">
        <f>10^(-B85+3)</f>
        <v>0.0012349991726875822</v>
      </c>
      <c r="C86" s="6">
        <f>10^(-C85+3)</f>
        <v>0.003072557365267444</v>
      </c>
      <c r="D86" s="6">
        <f>10^(-D85+3)</f>
        <v>0.0033819459827879156</v>
      </c>
      <c r="E86" s="6">
        <f>10^(-E85+3)</f>
        <v>0.005732358369467702</v>
      </c>
      <c r="F86" s="6">
        <f>10^(-F85+3)</f>
        <v>0.009261187281287912</v>
      </c>
      <c r="G86" s="6"/>
    </row>
    <row r="87" spans="1:7" ht="12.75">
      <c r="A87" t="s">
        <v>125</v>
      </c>
      <c r="B87" s="6">
        <f>$B86+B83</f>
        <v>0.0012349991726875822</v>
      </c>
      <c r="C87" s="6">
        <f>$B86+C83</f>
        <v>0.006210123550797034</v>
      </c>
      <c r="D87" s="6">
        <f>$B86+D83</f>
        <v>0.011135989271697483</v>
      </c>
      <c r="E87" s="6">
        <f>$B86+E83</f>
        <v>0.020842842309942485</v>
      </c>
      <c r="F87" s="6">
        <f>$B86+F83</f>
        <v>0.0488540467917352</v>
      </c>
      <c r="G87" s="6"/>
    </row>
    <row r="88" spans="1:7" s="10" customFormat="1" ht="12.75">
      <c r="A88" t="s">
        <v>126</v>
      </c>
      <c r="B88" s="6">
        <f>(B86-B87)/B87</f>
        <v>0</v>
      </c>
      <c r="C88" s="6">
        <f>(C86-C87)/C87</f>
        <v>-0.5052341003951365</v>
      </c>
      <c r="D88" s="6">
        <f>(D86-D87)/D87</f>
        <v>-0.6963048454632357</v>
      </c>
      <c r="E88" s="6">
        <f>(E86-E87)/E87</f>
        <v>-0.7249723293865135</v>
      </c>
      <c r="F88" s="6">
        <f>(F86-F87)/F87</f>
        <v>-0.8104315222694171</v>
      </c>
      <c r="G88" s="6"/>
    </row>
    <row r="89" spans="2:7" ht="12.75">
      <c r="B89" t="s">
        <v>127</v>
      </c>
      <c r="C89">
        <v>5.7</v>
      </c>
      <c r="D89" t="s">
        <v>128</v>
      </c>
      <c r="E89">
        <v>-30</v>
      </c>
      <c r="F89" t="s">
        <v>129</v>
      </c>
      <c r="G89">
        <v>465</v>
      </c>
    </row>
    <row r="90" spans="1:7" ht="12.75">
      <c r="A90" t="s">
        <v>130</v>
      </c>
      <c r="B90" s="6">
        <f>-LOG(10^-$C89*$B82/B82+B83/1000)</f>
        <v>5.700000000000001</v>
      </c>
      <c r="C90" s="6">
        <f>-LOG(10^-$C89*$B82/C82+C83/1000)</f>
        <v>5.157362057037668</v>
      </c>
      <c r="D90" s="6">
        <f>-LOG(10^-$C89*$B82/D82+D83/1000)</f>
        <v>4.925311624130076</v>
      </c>
      <c r="E90" s="6">
        <f>-LOG(10^-$C89*$B82/E82+E83/1000)</f>
        <v>4.666271026032614</v>
      </c>
      <c r="F90" s="6">
        <f>-LOG(10^-$C89*$B82/F82+F83/1000)</f>
        <v>4.305225525515961</v>
      </c>
      <c r="G90" s="6"/>
    </row>
    <row r="91" spans="1:7" s="10" customFormat="1" ht="12.75">
      <c r="A91" t="s">
        <v>81</v>
      </c>
      <c r="B91" s="3">
        <f>$E89*B90+$G89</f>
        <v>294</v>
      </c>
      <c r="C91" s="3">
        <f>$E89*C90+$G89</f>
        <v>310.27913828886994</v>
      </c>
      <c r="D91" s="3">
        <f>$E89*D90+$G89</f>
        <v>317.2406512760977</v>
      </c>
      <c r="E91" s="3">
        <f>$E89*E90+$G89</f>
        <v>325.0118692190216</v>
      </c>
      <c r="F91" s="3">
        <f>$E89*F90+$G89</f>
        <v>335.8432342345212</v>
      </c>
      <c r="G91" s="3"/>
    </row>
    <row r="94" spans="3:7" s="10" customFormat="1" ht="12.75">
      <c r="C94"/>
      <c r="D94"/>
      <c r="E94"/>
      <c r="F94"/>
      <c r="G94"/>
    </row>
    <row r="95" spans="1:8" ht="12.75">
      <c r="A95" s="10"/>
      <c r="B95" s="10"/>
      <c r="C95" s="10"/>
      <c r="D95" s="10"/>
      <c r="E95" s="10"/>
      <c r="F95" s="10"/>
      <c r="G95" s="10"/>
      <c r="H95" s="5"/>
    </row>
    <row r="96" ht="12.75">
      <c r="H96" s="6"/>
    </row>
    <row r="97" ht="12.75">
      <c r="H97" s="6"/>
    </row>
    <row r="98" spans="1:7" ht="12.75">
      <c r="A98" s="10"/>
      <c r="B98" s="10"/>
      <c r="C98" s="10"/>
      <c r="D98" s="10"/>
      <c r="E98" s="10"/>
      <c r="F98" s="10"/>
      <c r="G98" s="10"/>
    </row>
    <row r="99" spans="2:7" ht="12.75">
      <c r="B99" s="5"/>
      <c r="C99" s="5"/>
      <c r="D99" s="5"/>
      <c r="E99" s="5"/>
      <c r="F99" s="5"/>
      <c r="G99" s="5"/>
    </row>
    <row r="100" spans="2:7" ht="12.75">
      <c r="B100" s="6"/>
      <c r="C100" s="6"/>
      <c r="D100" s="6"/>
      <c r="E100" s="6"/>
      <c r="F100" s="6"/>
      <c r="G100" s="6"/>
    </row>
    <row r="101" spans="2:7" ht="12.75">
      <c r="B101" s="6"/>
      <c r="C101" s="6"/>
      <c r="D101" s="6"/>
      <c r="E101" s="6"/>
      <c r="F101" s="6"/>
      <c r="G101" s="6"/>
    </row>
    <row r="102" spans="2:7" ht="12.75">
      <c r="B102" s="6"/>
      <c r="C102" s="6"/>
      <c r="D102" s="6"/>
      <c r="E102" s="6"/>
      <c r="F102" s="6"/>
      <c r="G102" s="6"/>
    </row>
    <row r="104" spans="2:7" ht="12.75">
      <c r="B104" s="6"/>
      <c r="C104" s="6"/>
      <c r="D104" s="6"/>
      <c r="E104" s="6"/>
      <c r="F104" s="6"/>
      <c r="G104" s="6"/>
    </row>
    <row r="105" spans="1:7" s="10" customFormat="1" ht="12.75">
      <c r="A105"/>
      <c r="B105" s="3"/>
      <c r="C105" s="3"/>
      <c r="D105" s="3"/>
      <c r="E105" s="3"/>
      <c r="F105" s="3"/>
      <c r="G105" s="3"/>
    </row>
    <row r="109" spans="1:7" ht="12.75">
      <c r="A109" t="s">
        <v>11</v>
      </c>
      <c r="B109">
        <v>1</v>
      </c>
      <c r="C109">
        <v>2</v>
      </c>
      <c r="D109" t="s">
        <v>13</v>
      </c>
      <c r="E109" t="s">
        <v>12</v>
      </c>
      <c r="F109">
        <v>11</v>
      </c>
      <c r="G109">
        <v>5</v>
      </c>
    </row>
    <row r="110" spans="1:8" ht="12.75">
      <c r="A110" t="s">
        <v>133</v>
      </c>
      <c r="B110" s="5">
        <f>B16</f>
        <v>5.595833333333334</v>
      </c>
      <c r="C110" s="5">
        <f>B29</f>
        <v>5.3875</v>
      </c>
      <c r="D110" s="5">
        <f>B43</f>
        <v>5.533333333333334</v>
      </c>
      <c r="E110" s="5">
        <f>B57</f>
        <v>5.1375</v>
      </c>
      <c r="F110" s="5">
        <f>B71</f>
        <v>5.825</v>
      </c>
      <c r="G110" s="5">
        <f>B85</f>
        <v>5.908333333333334</v>
      </c>
      <c r="H110" s="5"/>
    </row>
    <row r="111" spans="1:11" ht="12.75">
      <c r="A111" t="s">
        <v>134</v>
      </c>
      <c r="B111">
        <f>C20</f>
        <v>4.83</v>
      </c>
      <c r="C111">
        <f>C33</f>
        <v>4.15</v>
      </c>
      <c r="D111">
        <f>D47</f>
        <v>4.3</v>
      </c>
      <c r="E111">
        <f>C61</f>
        <v>4</v>
      </c>
      <c r="F111">
        <f>C75</f>
        <v>4.35</v>
      </c>
      <c r="G111">
        <f>C89</f>
        <v>5.7</v>
      </c>
      <c r="I111" t="s">
        <v>135</v>
      </c>
      <c r="J111" t="s">
        <v>136</v>
      </c>
      <c r="K111" t="s">
        <v>137</v>
      </c>
    </row>
    <row r="112" spans="1:11" ht="12.75">
      <c r="A112" s="12" t="s">
        <v>138</v>
      </c>
      <c r="B112">
        <f aca="true" t="shared" si="4" ref="B112:G112">B111-B110</f>
        <v>-0.765833333333334</v>
      </c>
      <c r="C112">
        <f t="shared" si="4"/>
        <v>-1.2374999999999998</v>
      </c>
      <c r="D112">
        <f t="shared" si="4"/>
        <v>-1.2333333333333343</v>
      </c>
      <c r="E112">
        <f t="shared" si="4"/>
        <v>-1.1375000000000002</v>
      </c>
      <c r="F112">
        <f t="shared" si="4"/>
        <v>-1.4750000000000005</v>
      </c>
      <c r="G112">
        <f t="shared" si="4"/>
        <v>-0.20833333333333393</v>
      </c>
      <c r="I112" s="6">
        <f>AVERAGE(B112:H112)</f>
        <v>-1.0095833333333337</v>
      </c>
      <c r="J112" s="6">
        <f>MIN(B112:H112)</f>
        <v>-1.4750000000000005</v>
      </c>
      <c r="K112" s="6">
        <f>MAX(B112:H112)</f>
        <v>-0.20833333333333393</v>
      </c>
    </row>
    <row r="113" spans="1:11" ht="12.75">
      <c r="A113" t="s">
        <v>128</v>
      </c>
      <c r="B113">
        <f>E20</f>
        <v>-60</v>
      </c>
      <c r="C113">
        <f>E33</f>
        <v>-120</v>
      </c>
      <c r="D113">
        <f>F47</f>
        <v>-130</v>
      </c>
      <c r="E113">
        <f>E61</f>
        <v>-140</v>
      </c>
      <c r="F113">
        <f>E75</f>
        <v>-140</v>
      </c>
      <c r="G113">
        <f>E89</f>
        <v>-30</v>
      </c>
      <c r="I113" s="5">
        <f>AVERAGE(B113:H113)</f>
        <v>-103.33333333333333</v>
      </c>
      <c r="J113">
        <f>MIN(B113:H113)</f>
        <v>-140</v>
      </c>
      <c r="K113">
        <f>MAX(B113:H113)</f>
        <v>-30</v>
      </c>
    </row>
    <row r="114" spans="1:11" ht="12.75">
      <c r="A114" t="s">
        <v>129</v>
      </c>
      <c r="B114">
        <f>G20</f>
        <v>597</v>
      </c>
      <c r="C114">
        <f>G33</f>
        <v>817</v>
      </c>
      <c r="D114">
        <f>H47</f>
        <v>870</v>
      </c>
      <c r="E114">
        <f>G61</f>
        <v>890</v>
      </c>
      <c r="F114">
        <f>G75</f>
        <v>905</v>
      </c>
      <c r="G114">
        <f>G89</f>
        <v>465</v>
      </c>
      <c r="I114" s="3">
        <f>AVERAGE(B114:H114)</f>
        <v>757.3333333333334</v>
      </c>
      <c r="J114">
        <f>MIN(B114:H114)</f>
        <v>465</v>
      </c>
      <c r="K114">
        <f>MAX(B114:H114)</f>
        <v>905</v>
      </c>
    </row>
    <row r="115" spans="1:8" ht="12.75">
      <c r="A115" t="s">
        <v>139</v>
      </c>
      <c r="B115" s="3">
        <f>Св!B18</f>
        <v>90</v>
      </c>
      <c r="C115" s="3">
        <f>Св!C18</f>
        <v>200</v>
      </c>
      <c r="D115" s="3">
        <f>Св!I18</f>
        <v>20</v>
      </c>
      <c r="E115" s="3">
        <f>Св!K18</f>
        <v>30</v>
      </c>
      <c r="F115" s="3">
        <f>Св!G18</f>
        <v>24.444444444444443</v>
      </c>
      <c r="G115" s="3">
        <f>Св!D18</f>
        <v>110</v>
      </c>
      <c r="H115" s="3"/>
    </row>
    <row r="116" spans="1:8" ht="12.75">
      <c r="A116" t="s">
        <v>140</v>
      </c>
      <c r="B116" s="5">
        <f>Св!B19</f>
        <v>1.9</v>
      </c>
      <c r="C116" s="5">
        <f>Св!C19</f>
        <v>2</v>
      </c>
      <c r="D116" s="5">
        <f>Св!I19</f>
        <v>5.599999999999999</v>
      </c>
      <c r="E116" s="5">
        <f>Св!K19</f>
        <v>2.13</v>
      </c>
      <c r="F116" s="5">
        <f>Св!G19</f>
        <v>1.2650000000000001</v>
      </c>
      <c r="G116" s="5">
        <f>Св!D19</f>
        <v>1.18</v>
      </c>
      <c r="H116" s="5"/>
    </row>
    <row r="117" spans="1:8" ht="12.75">
      <c r="A117" t="s">
        <v>141</v>
      </c>
      <c r="B117" s="5">
        <f>Св!B25</f>
        <v>1.0875</v>
      </c>
      <c r="C117" s="5">
        <f>Св!C25</f>
        <v>1.05</v>
      </c>
      <c r="D117" s="5">
        <f>Св!I25</f>
        <v>2.725</v>
      </c>
      <c r="E117" s="5">
        <f>Св!K25</f>
        <v>1.075</v>
      </c>
      <c r="F117" s="5">
        <f>Св!G25</f>
        <v>0.725</v>
      </c>
      <c r="G117" s="5">
        <f>Св!D25</f>
        <v>0.725</v>
      </c>
      <c r="H117" s="5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7">
      <selection activeCell="A31" sqref="A31"/>
    </sheetView>
  </sheetViews>
  <sheetFormatPr defaultColWidth="9.00390625" defaultRowHeight="12.75"/>
  <cols>
    <col min="1" max="1" width="12.625" style="0" customWidth="1"/>
    <col min="2" max="2" width="3.875" style="0" customWidth="1"/>
    <col min="3" max="9" width="5.75390625" style="0" customWidth="1"/>
  </cols>
  <sheetData>
    <row r="3" ht="15.75">
      <c r="A3" s="1" t="s">
        <v>146</v>
      </c>
    </row>
    <row r="4" spans="1:8" ht="12.75">
      <c r="A4" t="s">
        <v>147</v>
      </c>
      <c r="C4">
        <v>0.071</v>
      </c>
      <c r="D4">
        <v>0.01</v>
      </c>
      <c r="E4">
        <v>0.001</v>
      </c>
      <c r="F4">
        <v>0.0001</v>
      </c>
      <c r="G4">
        <v>1E-05</v>
      </c>
      <c r="H4">
        <v>0</v>
      </c>
    </row>
    <row r="5" spans="1:7" ht="12.75">
      <c r="A5" t="s">
        <v>130</v>
      </c>
      <c r="C5">
        <f>-LOG(C4)</f>
        <v>1.1487416512809248</v>
      </c>
      <c r="D5">
        <f>-LOG(D4)</f>
        <v>2</v>
      </c>
      <c r="E5">
        <f>-LOG(E4)</f>
        <v>3</v>
      </c>
      <c r="F5">
        <f>-LOG(F4)</f>
        <v>4</v>
      </c>
      <c r="G5">
        <f>-LOG(G4)</f>
        <v>5</v>
      </c>
    </row>
    <row r="6" spans="1:8" ht="12.75">
      <c r="A6" t="s">
        <v>148</v>
      </c>
      <c r="B6">
        <v>20</v>
      </c>
      <c r="C6">
        <v>365</v>
      </c>
      <c r="D6">
        <v>344</v>
      </c>
      <c r="E6">
        <v>317</v>
      </c>
      <c r="F6">
        <v>290</v>
      </c>
      <c r="G6">
        <v>277</v>
      </c>
      <c r="H6">
        <v>275</v>
      </c>
    </row>
    <row r="7" spans="1:7" ht="12.75">
      <c r="A7" t="s">
        <v>148</v>
      </c>
      <c r="B7">
        <v>10</v>
      </c>
      <c r="C7">
        <v>360</v>
      </c>
      <c r="D7">
        <v>340</v>
      </c>
      <c r="E7">
        <v>326</v>
      </c>
      <c r="F7">
        <v>309</v>
      </c>
      <c r="G7">
        <v>294</v>
      </c>
    </row>
    <row r="9" spans="1:6" ht="12.75">
      <c r="A9" t="s">
        <v>149</v>
      </c>
      <c r="B9">
        <v>20</v>
      </c>
      <c r="C9" t="s">
        <v>150</v>
      </c>
      <c r="D9">
        <f>SLOPE(C6:F6,C$5:F$5)</f>
        <v>-26.397283057922678</v>
      </c>
      <c r="E9" t="s">
        <v>151</v>
      </c>
      <c r="F9">
        <f>INTERCEPT(C6:F6,C$5:F$5)</f>
        <v>395.974801512648</v>
      </c>
    </row>
    <row r="10" spans="2:6" ht="12.75">
      <c r="B10">
        <v>10</v>
      </c>
      <c r="C10" t="s">
        <v>150</v>
      </c>
      <c r="D10">
        <f>SLOPE(C7:G7,C$5:G$5)</f>
        <v>-16.758730323647683</v>
      </c>
      <c r="E10" t="s">
        <v>151</v>
      </c>
      <c r="F10">
        <f>INTERCEPT(C7:G7,C$5:G$5)</f>
        <v>376.5747352152853</v>
      </c>
    </row>
    <row r="12" spans="1:7" ht="12.75">
      <c r="A12" t="s">
        <v>152</v>
      </c>
      <c r="B12">
        <v>20</v>
      </c>
      <c r="C12">
        <f aca="true" t="shared" si="0" ref="C12:G13">(C6-$F9)/$D9</f>
        <v>1.17340869682236</v>
      </c>
      <c r="D12">
        <f t="shared" si="0"/>
        <v>1.9689451144877843</v>
      </c>
      <c r="E12">
        <f t="shared" si="0"/>
        <v>2.9917776514861867</v>
      </c>
      <c r="F12">
        <f t="shared" si="0"/>
        <v>4.014610188484589</v>
      </c>
      <c r="G12">
        <f t="shared" si="0"/>
        <v>4.507085113706042</v>
      </c>
    </row>
    <row r="13" spans="2:7" ht="12.75">
      <c r="B13">
        <v>10</v>
      </c>
      <c r="C13">
        <f t="shared" si="0"/>
        <v>0.9890209398439462</v>
      </c>
      <c r="D13">
        <f t="shared" si="0"/>
        <v>2.182428770494379</v>
      </c>
      <c r="E13">
        <f t="shared" si="0"/>
        <v>3.017814251949681</v>
      </c>
      <c r="F13">
        <f t="shared" si="0"/>
        <v>4.032210908002549</v>
      </c>
      <c r="G13">
        <f t="shared" si="0"/>
        <v>4.927266780990373</v>
      </c>
    </row>
    <row r="15" spans="1:7" ht="12.75">
      <c r="A15" t="s">
        <v>153</v>
      </c>
      <c r="B15">
        <v>20</v>
      </c>
      <c r="C15">
        <f aca="true" t="shared" si="1" ref="C15:G16">10^-C12</f>
        <v>0.06707972958324812</v>
      </c>
      <c r="D15">
        <f t="shared" si="1"/>
        <v>0.010741251501560413</v>
      </c>
      <c r="E15">
        <f t="shared" si="1"/>
        <v>0.0010191130162981782</v>
      </c>
      <c r="F15">
        <f t="shared" si="1"/>
        <v>9.669183705804588E-05</v>
      </c>
      <c r="G15">
        <f t="shared" si="1"/>
        <v>3.111106557867495E-05</v>
      </c>
    </row>
    <row r="16" spans="2:7" ht="12.75">
      <c r="B16">
        <v>10</v>
      </c>
      <c r="C16">
        <f t="shared" si="1"/>
        <v>0.10256024748436249</v>
      </c>
      <c r="D16">
        <f t="shared" si="1"/>
        <v>0.006570088649765344</v>
      </c>
      <c r="E16">
        <f t="shared" si="1"/>
        <v>0.0009598110555927399</v>
      </c>
      <c r="F16">
        <f t="shared" si="1"/>
        <v>9.285153589941849E-05</v>
      </c>
      <c r="G16">
        <f t="shared" si="1"/>
        <v>1.1823150531040842E-05</v>
      </c>
    </row>
    <row r="18" spans="1:7" ht="12.75">
      <c r="A18" t="s">
        <v>154</v>
      </c>
      <c r="B18">
        <v>20</v>
      </c>
      <c r="C18" s="6">
        <f aca="true" t="shared" si="2" ref="C18:G19">(C15-C$4)/C$4</f>
        <v>-0.055215076292279903</v>
      </c>
      <c r="D18" s="6">
        <f t="shared" si="2"/>
        <v>0.0741251501560413</v>
      </c>
      <c r="E18" s="6">
        <f t="shared" si="2"/>
        <v>0.019113016298178156</v>
      </c>
      <c r="F18" s="6">
        <f t="shared" si="2"/>
        <v>-0.033081629419541216</v>
      </c>
      <c r="G18" s="6">
        <f t="shared" si="2"/>
        <v>2.1111065578674952</v>
      </c>
    </row>
    <row r="19" spans="2:7" ht="12.75">
      <c r="B19">
        <v>10</v>
      </c>
      <c r="C19" s="6">
        <f t="shared" si="2"/>
        <v>0.44451052794876755</v>
      </c>
      <c r="D19" s="6">
        <f t="shared" si="2"/>
        <v>-0.3429911350234656</v>
      </c>
      <c r="E19" s="6">
        <f t="shared" si="2"/>
        <v>-0.040188944407260105</v>
      </c>
      <c r="F19" s="6">
        <f t="shared" si="2"/>
        <v>-0.07148464100581513</v>
      </c>
      <c r="G19" s="6">
        <f t="shared" si="2"/>
        <v>0.18231505310408413</v>
      </c>
    </row>
    <row r="22" ht="12.75">
      <c r="A22" s="7" t="s">
        <v>155</v>
      </c>
    </row>
    <row r="23" spans="1:3" ht="12.75">
      <c r="A23" t="s">
        <v>122</v>
      </c>
      <c r="C23">
        <v>318</v>
      </c>
    </row>
    <row r="24" spans="1:3" ht="12.75">
      <c r="A24" t="s">
        <v>156</v>
      </c>
      <c r="C24">
        <f>(C23-F9)/D9</f>
        <v>2.9538949649306905</v>
      </c>
    </row>
    <row r="25" spans="1:3" ht="12.75">
      <c r="A25" t="s">
        <v>157</v>
      </c>
      <c r="C25">
        <f>10^-C24</f>
        <v>0.0011120006345453767</v>
      </c>
    </row>
    <row r="26" spans="1:3" ht="12.75">
      <c r="A26" t="s">
        <v>158</v>
      </c>
      <c r="C26" s="8">
        <v>0.001</v>
      </c>
    </row>
    <row r="27" spans="1:3" ht="12.75">
      <c r="A27" t="s">
        <v>154</v>
      </c>
      <c r="C27" s="6">
        <f>(C25-C26)/C26</f>
        <v>0.11200063454537665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61"/>
  <sheetViews>
    <sheetView workbookViewId="0" topLeftCell="A39">
      <selection activeCell="J68" sqref="J68"/>
    </sheetView>
  </sheetViews>
  <sheetFormatPr defaultColWidth="9.00390625" defaultRowHeight="12.75"/>
  <cols>
    <col min="2" max="2" width="3.875" style="0" customWidth="1"/>
    <col min="3" max="9" width="5.75390625" style="0" customWidth="1"/>
    <col min="10" max="12" width="6.375" style="0" customWidth="1"/>
    <col min="13" max="13" width="7.00390625" style="0" customWidth="1"/>
  </cols>
  <sheetData>
    <row r="3" ht="15.75">
      <c r="A3" s="9" t="s">
        <v>159</v>
      </c>
    </row>
    <row r="4" spans="1:8" ht="12.75">
      <c r="A4" t="s">
        <v>147</v>
      </c>
      <c r="C4">
        <v>0.1</v>
      </c>
      <c r="D4">
        <v>0.01</v>
      </c>
      <c r="E4">
        <v>0.001</v>
      </c>
      <c r="F4">
        <v>0.0001</v>
      </c>
      <c r="G4">
        <v>1E-05</v>
      </c>
      <c r="H4">
        <v>0</v>
      </c>
    </row>
    <row r="5" spans="1:7" ht="12.75">
      <c r="A5" t="s">
        <v>130</v>
      </c>
      <c r="C5">
        <f>-LOG(C4)</f>
        <v>1</v>
      </c>
      <c r="D5">
        <f>-LOG(D4)</f>
        <v>2</v>
      </c>
      <c r="E5">
        <f>-LOG(E4)</f>
        <v>3</v>
      </c>
      <c r="F5">
        <f>-LOG(F4)</f>
        <v>4</v>
      </c>
      <c r="G5">
        <f>-LOG(G4)</f>
        <v>5</v>
      </c>
    </row>
    <row r="6" spans="1:8" ht="12.75">
      <c r="A6" t="s">
        <v>148</v>
      </c>
      <c r="B6">
        <v>20</v>
      </c>
      <c r="C6">
        <v>537</v>
      </c>
      <c r="D6">
        <v>479</v>
      </c>
      <c r="E6">
        <v>403</v>
      </c>
      <c r="F6">
        <v>327</v>
      </c>
      <c r="G6">
        <v>269</v>
      </c>
      <c r="H6">
        <v>219</v>
      </c>
    </row>
    <row r="7" spans="1:7" ht="12.75">
      <c r="A7" t="s">
        <v>148</v>
      </c>
      <c r="B7">
        <v>10</v>
      </c>
      <c r="C7">
        <v>533</v>
      </c>
      <c r="D7">
        <v>482</v>
      </c>
      <c r="E7">
        <v>419</v>
      </c>
      <c r="F7">
        <v>354</v>
      </c>
      <c r="G7">
        <v>311</v>
      </c>
    </row>
    <row r="9" spans="1:6" ht="12.75">
      <c r="A9" t="s">
        <v>149</v>
      </c>
      <c r="B9">
        <v>20</v>
      </c>
      <c r="C9" t="s">
        <v>150</v>
      </c>
      <c r="D9">
        <f>SLOPE(C6:G6,C$5:G$5)</f>
        <v>-68.8</v>
      </c>
      <c r="E9" t="s">
        <v>151</v>
      </c>
      <c r="F9">
        <f>INTERCEPT(C6:G6,C$5:G$5)</f>
        <v>609.4</v>
      </c>
    </row>
    <row r="10" spans="2:6" ht="12.75">
      <c r="B10">
        <v>10</v>
      </c>
      <c r="C10" t="s">
        <v>150</v>
      </c>
      <c r="D10">
        <f>SLOPE(C7:G7,C$5:G$5)</f>
        <v>-57.2</v>
      </c>
      <c r="E10" t="s">
        <v>151</v>
      </c>
      <c r="F10">
        <f>INTERCEPT(C7:G7,C$5:G$5)</f>
        <v>591.4000000000001</v>
      </c>
    </row>
    <row r="12" spans="1:7" ht="12.75">
      <c r="A12" t="s">
        <v>152</v>
      </c>
      <c r="B12">
        <v>20</v>
      </c>
      <c r="C12">
        <f aca="true" t="shared" si="0" ref="C12:G13">(C6-$F9)/$D9</f>
        <v>1.0523255813953485</v>
      </c>
      <c r="D12">
        <f t="shared" si="0"/>
        <v>1.8953488372093021</v>
      </c>
      <c r="E12">
        <f t="shared" si="0"/>
        <v>3</v>
      </c>
      <c r="F12">
        <f t="shared" si="0"/>
        <v>4.104651162790698</v>
      </c>
      <c r="G12">
        <f t="shared" si="0"/>
        <v>4.947674418604651</v>
      </c>
    </row>
    <row r="13" spans="2:7" ht="12.75">
      <c r="B13">
        <v>10</v>
      </c>
      <c r="C13">
        <f t="shared" si="0"/>
        <v>1.0209790209790226</v>
      </c>
      <c r="D13">
        <f t="shared" si="0"/>
        <v>1.912587412587414</v>
      </c>
      <c r="E13">
        <f t="shared" si="0"/>
        <v>3.0139860139860155</v>
      </c>
      <c r="F13">
        <f t="shared" si="0"/>
        <v>4.150349650349652</v>
      </c>
      <c r="G13">
        <f t="shared" si="0"/>
        <v>4.902097902097903</v>
      </c>
    </row>
    <row r="15" spans="1:7" ht="12.75">
      <c r="A15" t="s">
        <v>153</v>
      </c>
      <c r="B15">
        <v>20</v>
      </c>
      <c r="C15">
        <f aca="true" t="shared" si="1" ref="C15:G16">10^-C12</f>
        <v>0.08864911791602897</v>
      </c>
      <c r="D15">
        <f t="shared" si="1"/>
        <v>0.012724805792071525</v>
      </c>
      <c r="E15">
        <f t="shared" si="1"/>
        <v>0.001</v>
      </c>
      <c r="F15">
        <f t="shared" si="1"/>
        <v>7.858666107289991E-05</v>
      </c>
      <c r="G15">
        <f t="shared" si="1"/>
        <v>1.1280428091199166E-05</v>
      </c>
    </row>
    <row r="16" spans="2:7" ht="12.75">
      <c r="B16">
        <v>10</v>
      </c>
      <c r="C16">
        <f t="shared" si="1"/>
        <v>0.0952842190888695</v>
      </c>
      <c r="D16">
        <f t="shared" si="1"/>
        <v>0.012229609429093933</v>
      </c>
      <c r="E16">
        <f t="shared" si="1"/>
        <v>0.0009683090391711499</v>
      </c>
      <c r="F16">
        <f t="shared" si="1"/>
        <v>7.073760468361759E-05</v>
      </c>
      <c r="G16">
        <f t="shared" si="1"/>
        <v>1.2528587137824131E-05</v>
      </c>
    </row>
    <row r="18" spans="1:7" ht="12.75">
      <c r="A18" t="s">
        <v>154</v>
      </c>
      <c r="B18">
        <v>20</v>
      </c>
      <c r="C18" s="6">
        <f aca="true" t="shared" si="2" ref="C18:G19">(C15-C$4)/C$4</f>
        <v>-0.11350882083971031</v>
      </c>
      <c r="D18" s="6">
        <f t="shared" si="2"/>
        <v>0.2724805792071525</v>
      </c>
      <c r="E18" s="6">
        <f t="shared" si="2"/>
        <v>0</v>
      </c>
      <c r="F18" s="6">
        <f t="shared" si="2"/>
        <v>-0.21413338927100095</v>
      </c>
      <c r="G18" s="6">
        <f t="shared" si="2"/>
        <v>0.12804280911991653</v>
      </c>
    </row>
    <row r="19" spans="2:7" ht="12.75">
      <c r="B19">
        <v>10</v>
      </c>
      <c r="C19" s="6">
        <f t="shared" si="2"/>
        <v>-0.04715780911130507</v>
      </c>
      <c r="D19" s="6">
        <f t="shared" si="2"/>
        <v>0.22296094290939328</v>
      </c>
      <c r="E19" s="6">
        <f t="shared" si="2"/>
        <v>-0.03169096082885009</v>
      </c>
      <c r="F19" s="6">
        <f t="shared" si="2"/>
        <v>-0.29262395316382417</v>
      </c>
      <c r="G19" s="6">
        <f t="shared" si="2"/>
        <v>0.252858713782413</v>
      </c>
    </row>
    <row r="22" ht="12.75">
      <c r="A22" s="7" t="s">
        <v>155</v>
      </c>
    </row>
    <row r="23" spans="1:3" ht="12.75">
      <c r="A23" t="s">
        <v>122</v>
      </c>
      <c r="C23">
        <v>318</v>
      </c>
    </row>
    <row r="24" spans="1:3" ht="12.75">
      <c r="A24" t="s">
        <v>156</v>
      </c>
      <c r="C24">
        <f>(C23-F9)/D9</f>
        <v>4.2354651162790695</v>
      </c>
    </row>
    <row r="25" spans="1:3" ht="12.75">
      <c r="A25" t="s">
        <v>157</v>
      </c>
      <c r="C25">
        <f>10^-C24</f>
        <v>5.8148013650809656E-05</v>
      </c>
    </row>
    <row r="26" spans="1:3" ht="12.75">
      <c r="A26" t="s">
        <v>158</v>
      </c>
      <c r="C26" s="8">
        <v>0.001</v>
      </c>
    </row>
    <row r="27" spans="1:3" ht="12.75">
      <c r="A27" t="s">
        <v>154</v>
      </c>
      <c r="C27" s="6">
        <f>(C25-C26)/C26</f>
        <v>-0.9418519863491903</v>
      </c>
    </row>
    <row r="46" ht="12.75">
      <c r="A46" t="s">
        <v>160</v>
      </c>
    </row>
    <row r="47" spans="1:7" ht="12.75">
      <c r="A47" t="s">
        <v>37</v>
      </c>
      <c r="C47">
        <v>1</v>
      </c>
      <c r="D47">
        <v>2</v>
      </c>
      <c r="E47">
        <v>3</v>
      </c>
      <c r="F47">
        <v>4</v>
      </c>
      <c r="G47">
        <v>5</v>
      </c>
    </row>
    <row r="48" spans="1:7" ht="12.75">
      <c r="A48" t="s">
        <v>161</v>
      </c>
      <c r="C48">
        <v>532</v>
      </c>
      <c r="D48">
        <v>476</v>
      </c>
      <c r="E48">
        <v>437</v>
      </c>
      <c r="F48">
        <v>376</v>
      </c>
      <c r="G48">
        <v>342</v>
      </c>
    </row>
    <row r="49" spans="2:3" ht="12.75">
      <c r="B49" t="s">
        <v>162</v>
      </c>
      <c r="C49" s="3">
        <f>SLOPE(C48:G48,C47:G47)</f>
        <v>-48</v>
      </c>
    </row>
    <row r="50" spans="2:3" ht="12.75">
      <c r="B50" t="s">
        <v>129</v>
      </c>
      <c r="C50">
        <f>INTERCEPT(C48:G48,C47:G47)</f>
        <v>576.6</v>
      </c>
    </row>
    <row r="52" ht="12.75">
      <c r="A52" t="s">
        <v>163</v>
      </c>
    </row>
    <row r="53" spans="1:4" ht="12.75">
      <c r="A53" t="s">
        <v>164</v>
      </c>
      <c r="B53">
        <v>4</v>
      </c>
      <c r="C53" t="s">
        <v>165</v>
      </c>
      <c r="D53">
        <f>10^-B53</f>
        <v>0.0001</v>
      </c>
    </row>
    <row r="54" spans="1:4" ht="12.75">
      <c r="A54" t="s">
        <v>166</v>
      </c>
      <c r="C54">
        <v>0.01</v>
      </c>
      <c r="D54" t="s">
        <v>78</v>
      </c>
    </row>
    <row r="55" spans="1:3" ht="12.75">
      <c r="A55" t="s">
        <v>167</v>
      </c>
      <c r="C55">
        <v>100</v>
      </c>
    </row>
    <row r="57" spans="1:13" ht="12.75">
      <c r="A57" t="s">
        <v>168</v>
      </c>
      <c r="C57">
        <v>0</v>
      </c>
      <c r="D57">
        <v>0.001</v>
      </c>
      <c r="E57">
        <v>0.01</v>
      </c>
      <c r="F57">
        <v>0.02</v>
      </c>
      <c r="G57">
        <v>0.05</v>
      </c>
      <c r="H57">
        <v>0.1</v>
      </c>
      <c r="I57">
        <v>0.2</v>
      </c>
      <c r="J57">
        <v>0.5</v>
      </c>
      <c r="K57">
        <v>1</v>
      </c>
      <c r="L57">
        <v>2</v>
      </c>
      <c r="M57">
        <v>5</v>
      </c>
    </row>
    <row r="58" spans="1:13" ht="12.75">
      <c r="A58" t="s">
        <v>169</v>
      </c>
      <c r="C58">
        <f aca="true" t="shared" si="3" ref="C58:M58">$C$55+C57</f>
        <v>100</v>
      </c>
      <c r="D58">
        <f t="shared" si="3"/>
        <v>100.001</v>
      </c>
      <c r="E58">
        <f t="shared" si="3"/>
        <v>100.01</v>
      </c>
      <c r="F58">
        <f t="shared" si="3"/>
        <v>100.02</v>
      </c>
      <c r="G58">
        <f t="shared" si="3"/>
        <v>100.05</v>
      </c>
      <c r="H58">
        <f t="shared" si="3"/>
        <v>100.1</v>
      </c>
      <c r="I58">
        <f t="shared" si="3"/>
        <v>100.2</v>
      </c>
      <c r="J58">
        <f t="shared" si="3"/>
        <v>100.5</v>
      </c>
      <c r="K58">
        <f t="shared" si="3"/>
        <v>101</v>
      </c>
      <c r="L58">
        <f t="shared" si="3"/>
        <v>102</v>
      </c>
      <c r="M58">
        <f t="shared" si="3"/>
        <v>105</v>
      </c>
    </row>
    <row r="59" spans="1:13" ht="12.75">
      <c r="A59" t="s">
        <v>170</v>
      </c>
      <c r="C59" s="13">
        <f aca="true" t="shared" si="4" ref="C59:M59">($D$53*$C$55+C57*$C$54)/C58*1000</f>
        <v>0.1</v>
      </c>
      <c r="D59" s="13">
        <f t="shared" si="4"/>
        <v>0.10009899901000989</v>
      </c>
      <c r="E59" s="13">
        <f t="shared" si="4"/>
        <v>0.100989901009899</v>
      </c>
      <c r="F59" s="13">
        <f t="shared" si="4"/>
        <v>0.10197960407918417</v>
      </c>
      <c r="G59" s="13">
        <f t="shared" si="4"/>
        <v>0.10494752623688157</v>
      </c>
      <c r="H59" s="13">
        <f t="shared" si="4"/>
        <v>0.10989010989010989</v>
      </c>
      <c r="I59" s="13">
        <f t="shared" si="4"/>
        <v>0.11976047904191617</v>
      </c>
      <c r="J59" s="13">
        <f t="shared" si="4"/>
        <v>0.1492537313432836</v>
      </c>
      <c r="K59" s="13">
        <f t="shared" si="4"/>
        <v>0.19801980198019803</v>
      </c>
      <c r="L59" s="13">
        <f t="shared" si="4"/>
        <v>0.2941176470588235</v>
      </c>
      <c r="M59" s="13">
        <f t="shared" si="4"/>
        <v>0.5714285714285715</v>
      </c>
    </row>
    <row r="60" spans="1:13" ht="12.75">
      <c r="A60" t="s">
        <v>131</v>
      </c>
      <c r="C60">
        <f aca="true" t="shared" si="5" ref="C60:M60">-LOG(C59/1000)</f>
        <v>4</v>
      </c>
      <c r="D60">
        <f t="shared" si="5"/>
        <v>3.999570265443786</v>
      </c>
      <c r="E60">
        <f t="shared" si="5"/>
        <v>3.99572205349422</v>
      </c>
      <c r="F60">
        <f t="shared" si="5"/>
        <v>3.991486678449731</v>
      </c>
      <c r="G60">
        <f t="shared" si="5"/>
        <v>3.979027793902292</v>
      </c>
      <c r="H60">
        <f t="shared" si="5"/>
        <v>3.9590413923210934</v>
      </c>
      <c r="I60">
        <f t="shared" si="5"/>
        <v>3.921686475483602</v>
      </c>
      <c r="J60">
        <f t="shared" si="5"/>
        <v>3.8260748027008264</v>
      </c>
      <c r="K60">
        <f t="shared" si="5"/>
        <v>3.7032913781186614</v>
      </c>
      <c r="L60">
        <f t="shared" si="5"/>
        <v>3.5314789170422554</v>
      </c>
      <c r="M60">
        <f t="shared" si="5"/>
        <v>3.2430380486862944</v>
      </c>
    </row>
    <row r="61" spans="1:13" ht="12.75">
      <c r="A61" t="s">
        <v>81</v>
      </c>
      <c r="C61">
        <f aca="true" t="shared" si="6" ref="C61:M61">$C$49*C60+$C$50</f>
        <v>384.6</v>
      </c>
      <c r="D61">
        <f t="shared" si="6"/>
        <v>384.6206272586983</v>
      </c>
      <c r="E61">
        <f t="shared" si="6"/>
        <v>384.8053414322775</v>
      </c>
      <c r="F61">
        <f t="shared" si="6"/>
        <v>385.00863943441294</v>
      </c>
      <c r="G61">
        <f t="shared" si="6"/>
        <v>385.60666589269</v>
      </c>
      <c r="H61">
        <f t="shared" si="6"/>
        <v>386.5660131685876</v>
      </c>
      <c r="I61">
        <f t="shared" si="6"/>
        <v>388.35904917678715</v>
      </c>
      <c r="J61">
        <f t="shared" si="6"/>
        <v>392.9484094703604</v>
      </c>
      <c r="K61">
        <f t="shared" si="6"/>
        <v>398.8420138503043</v>
      </c>
      <c r="L61">
        <f t="shared" si="6"/>
        <v>407.0890119819718</v>
      </c>
      <c r="M61">
        <f t="shared" si="6"/>
        <v>420.9341736630579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V50"/>
  <sheetViews>
    <sheetView workbookViewId="0" topLeftCell="A22">
      <selection activeCell="A46" sqref="A46:G50"/>
    </sheetView>
  </sheetViews>
  <sheetFormatPr defaultColWidth="9.00390625" defaultRowHeight="12.75"/>
  <cols>
    <col min="2" max="2" width="3.875" style="0" customWidth="1"/>
    <col min="3" max="9" width="5.75390625" style="0" customWidth="1"/>
  </cols>
  <sheetData>
    <row r="3" ht="15.75">
      <c r="A3" s="9" t="s">
        <v>171</v>
      </c>
    </row>
    <row r="4" spans="1:8" ht="12.75">
      <c r="A4" t="s">
        <v>147</v>
      </c>
      <c r="C4">
        <v>0.1</v>
      </c>
      <c r="D4">
        <v>0.01</v>
      </c>
      <c r="E4">
        <v>0.001</v>
      </c>
      <c r="F4">
        <v>0.0001</v>
      </c>
      <c r="G4">
        <v>1E-05</v>
      </c>
      <c r="H4">
        <v>0</v>
      </c>
    </row>
    <row r="5" spans="1:7" ht="12.75">
      <c r="A5" t="s">
        <v>130</v>
      </c>
      <c r="C5">
        <f>-LOG(C4)</f>
        <v>1</v>
      </c>
      <c r="D5">
        <f>-LOG(D4)</f>
        <v>2</v>
      </c>
      <c r="E5">
        <f>-LOG(E4)</f>
        <v>3</v>
      </c>
      <c r="F5">
        <f>-LOG(F4)</f>
        <v>4</v>
      </c>
      <c r="G5">
        <f>-LOG(G4)</f>
        <v>5</v>
      </c>
    </row>
    <row r="6" spans="1:8" ht="12.75">
      <c r="A6" t="s">
        <v>148</v>
      </c>
      <c r="B6">
        <v>20</v>
      </c>
      <c r="C6">
        <v>298</v>
      </c>
      <c r="D6">
        <v>349</v>
      </c>
      <c r="E6">
        <v>400</v>
      </c>
      <c r="F6">
        <v>449</v>
      </c>
      <c r="G6">
        <v>490</v>
      </c>
      <c r="H6">
        <v>545</v>
      </c>
    </row>
    <row r="7" spans="1:7" ht="12.75">
      <c r="A7" t="s">
        <v>148</v>
      </c>
      <c r="B7">
        <v>10</v>
      </c>
      <c r="C7">
        <v>288</v>
      </c>
      <c r="D7">
        <v>343</v>
      </c>
      <c r="E7">
        <v>407</v>
      </c>
      <c r="F7">
        <v>456</v>
      </c>
      <c r="G7">
        <v>495</v>
      </c>
    </row>
    <row r="9" spans="1:6" ht="12.75">
      <c r="A9" t="s">
        <v>149</v>
      </c>
      <c r="B9">
        <v>20</v>
      </c>
      <c r="C9" t="s">
        <v>150</v>
      </c>
      <c r="D9">
        <f>SLOPE(C6:G6,C$5:G$5)</f>
        <v>48.4</v>
      </c>
      <c r="E9" t="s">
        <v>151</v>
      </c>
      <c r="F9">
        <f>INTERCEPT(C6:G6,C$5:G$5)</f>
        <v>252</v>
      </c>
    </row>
    <row r="10" spans="2:6" ht="12.75">
      <c r="B10">
        <v>10</v>
      </c>
      <c r="C10" t="s">
        <v>150</v>
      </c>
      <c r="D10">
        <f>SLOPE(C7:G7,C$5:G$5)</f>
        <v>52.7</v>
      </c>
      <c r="E10" t="s">
        <v>151</v>
      </c>
      <c r="F10">
        <f>INTERCEPT(C7:G7,C$5:G$5)</f>
        <v>239.7</v>
      </c>
    </row>
    <row r="12" spans="1:7" ht="12.75">
      <c r="A12" t="s">
        <v>172</v>
      </c>
      <c r="B12">
        <v>20</v>
      </c>
      <c r="C12">
        <f aca="true" t="shared" si="0" ref="C12:G13">(C6-$F9)/$D9</f>
        <v>0.9504132231404959</v>
      </c>
      <c r="D12">
        <f t="shared" si="0"/>
        <v>2.0041322314049586</v>
      </c>
      <c r="E12">
        <f t="shared" si="0"/>
        <v>3.0578512396694215</v>
      </c>
      <c r="F12">
        <f t="shared" si="0"/>
        <v>4.070247933884298</v>
      </c>
      <c r="G12">
        <f t="shared" si="0"/>
        <v>4.917355371900826</v>
      </c>
    </row>
    <row r="13" spans="2:7" ht="12.75">
      <c r="B13">
        <v>10</v>
      </c>
      <c r="C13">
        <f t="shared" si="0"/>
        <v>0.916508538899431</v>
      </c>
      <c r="D13">
        <f t="shared" si="0"/>
        <v>1.9601518026565465</v>
      </c>
      <c r="E13">
        <f t="shared" si="0"/>
        <v>3.174573055028463</v>
      </c>
      <c r="F13">
        <f t="shared" si="0"/>
        <v>4.104364326375712</v>
      </c>
      <c r="G13">
        <f t="shared" si="0"/>
        <v>4.8444022770398485</v>
      </c>
    </row>
    <row r="15" spans="1:7" ht="12.75">
      <c r="A15" t="s">
        <v>173</v>
      </c>
      <c r="B15">
        <v>20</v>
      </c>
      <c r="C15">
        <f aca="true" t="shared" si="1" ref="C15:G16">10^-C12</f>
        <v>0.11209513822936684</v>
      </c>
      <c r="D15">
        <f t="shared" si="1"/>
        <v>0.009905303081884686</v>
      </c>
      <c r="E15">
        <f t="shared" si="1"/>
        <v>0.0008752835376609565</v>
      </c>
      <c r="F15">
        <f t="shared" si="1"/>
        <v>8.50652271645462E-05</v>
      </c>
      <c r="G15">
        <f t="shared" si="1"/>
        <v>1.2096079377043664E-05</v>
      </c>
    </row>
    <row r="16" spans="2:7" ht="12.75">
      <c r="B16">
        <v>10</v>
      </c>
      <c r="C16">
        <f t="shared" si="1"/>
        <v>0.12119688593633757</v>
      </c>
      <c r="D16">
        <f t="shared" si="1"/>
        <v>0.010960950017364041</v>
      </c>
      <c r="E16">
        <f t="shared" si="1"/>
        <v>0.0006690012742501561</v>
      </c>
      <c r="F16">
        <f t="shared" si="1"/>
        <v>7.863858197599821E-05</v>
      </c>
      <c r="G16">
        <f t="shared" si="1"/>
        <v>1.4308619106090505E-05</v>
      </c>
    </row>
    <row r="18" spans="1:7" ht="12.75">
      <c r="A18" t="s">
        <v>154</v>
      </c>
      <c r="B18">
        <v>20</v>
      </c>
      <c r="C18" s="6">
        <f aca="true" t="shared" si="2" ref="C18:G19">(C15-C$4)/C$4</f>
        <v>0.12095138229366836</v>
      </c>
      <c r="D18" s="6">
        <f t="shared" si="2"/>
        <v>-0.00946969181153147</v>
      </c>
      <c r="E18" s="6">
        <f t="shared" si="2"/>
        <v>-0.12471646233904354</v>
      </c>
      <c r="F18" s="6">
        <f t="shared" si="2"/>
        <v>-0.14934772835453797</v>
      </c>
      <c r="G18" s="6">
        <f t="shared" si="2"/>
        <v>0.20960793770436628</v>
      </c>
    </row>
    <row r="19" spans="2:7" ht="12.75">
      <c r="B19">
        <v>10</v>
      </c>
      <c r="C19" s="6">
        <f t="shared" si="2"/>
        <v>0.21196885936337562</v>
      </c>
      <c r="D19" s="6">
        <f t="shared" si="2"/>
        <v>0.0960950017364041</v>
      </c>
      <c r="E19" s="6">
        <f t="shared" si="2"/>
        <v>-0.3309987257498439</v>
      </c>
      <c r="F19" s="6">
        <f t="shared" si="2"/>
        <v>-0.21361418024001794</v>
      </c>
      <c r="G19" s="6">
        <f t="shared" si="2"/>
        <v>0.4308619106090504</v>
      </c>
    </row>
    <row r="22" ht="12.75">
      <c r="A22" s="7" t="s">
        <v>155</v>
      </c>
    </row>
    <row r="23" spans="1:3" ht="12.75">
      <c r="A23" t="s">
        <v>122</v>
      </c>
      <c r="C23">
        <v>318</v>
      </c>
    </row>
    <row r="24" spans="1:3" ht="12.75">
      <c r="A24" t="s">
        <v>174</v>
      </c>
      <c r="C24">
        <f>(C23-F9)/D9</f>
        <v>1.3636363636363638</v>
      </c>
    </row>
    <row r="25" spans="1:3" ht="12.75">
      <c r="A25" t="s">
        <v>175</v>
      </c>
      <c r="C25">
        <f>10^-C24</f>
        <v>0.04328761281083055</v>
      </c>
    </row>
    <row r="26" spans="1:22" ht="12.75">
      <c r="A26" t="s">
        <v>176</v>
      </c>
      <c r="C26" s="8">
        <v>0.001</v>
      </c>
      <c r="V26">
        <f>10^-3.8</f>
        <v>0.0001584893192461112</v>
      </c>
    </row>
    <row r="27" spans="1:3" ht="12.75">
      <c r="A27" t="s">
        <v>154</v>
      </c>
      <c r="C27" s="6">
        <f>(C25-C26)/C26</f>
        <v>42.28761281083055</v>
      </c>
    </row>
    <row r="37" ht="12.75">
      <c r="A37" t="s">
        <v>177</v>
      </c>
    </row>
    <row r="39" ht="12.75">
      <c r="A39" t="s">
        <v>81</v>
      </c>
    </row>
    <row r="40" spans="1:4" ht="12.75">
      <c r="A40" t="s">
        <v>178</v>
      </c>
      <c r="B40">
        <v>246</v>
      </c>
      <c r="D40">
        <v>269</v>
      </c>
    </row>
    <row r="41" spans="1:5" ht="12.75">
      <c r="A41">
        <v>39</v>
      </c>
      <c r="B41">
        <f>B$43*$A41+$B$40</f>
        <v>285</v>
      </c>
      <c r="C41">
        <f>C$43*$A41+$B$40</f>
        <v>441</v>
      </c>
      <c r="D41">
        <f>D$43*$A41+$D$40</f>
        <v>308</v>
      </c>
      <c r="E41">
        <f>E$43*$A41+$D$40</f>
        <v>464</v>
      </c>
    </row>
    <row r="42" spans="1:5" ht="12.75">
      <c r="A42">
        <v>41</v>
      </c>
      <c r="B42">
        <f>B$43*$A42+$B$40</f>
        <v>287</v>
      </c>
      <c r="C42">
        <f>C$43*$A42+$B$40</f>
        <v>451</v>
      </c>
      <c r="D42">
        <f>D$43*$A42+$D$40</f>
        <v>310</v>
      </c>
      <c r="E42">
        <f>E$43*$A42+$D$40</f>
        <v>474</v>
      </c>
    </row>
    <row r="43" spans="1:5" ht="12.75">
      <c r="A43" t="s">
        <v>37</v>
      </c>
      <c r="B43">
        <v>1</v>
      </c>
      <c r="C43">
        <v>5</v>
      </c>
      <c r="D43">
        <v>1</v>
      </c>
      <c r="E43">
        <v>5</v>
      </c>
    </row>
    <row r="46" ht="12.75">
      <c r="A46" t="s">
        <v>160</v>
      </c>
    </row>
    <row r="47" spans="1:7" ht="12.75">
      <c r="A47" t="s">
        <v>37</v>
      </c>
      <c r="C47">
        <v>1</v>
      </c>
      <c r="D47">
        <v>2</v>
      </c>
      <c r="E47">
        <v>3</v>
      </c>
      <c r="F47">
        <v>4</v>
      </c>
      <c r="G47">
        <v>5</v>
      </c>
    </row>
    <row r="48" spans="1:8" ht="12.75">
      <c r="A48" t="s">
        <v>161</v>
      </c>
      <c r="C48">
        <v>285</v>
      </c>
      <c r="D48">
        <v>333</v>
      </c>
      <c r="E48">
        <v>387</v>
      </c>
      <c r="F48">
        <v>436</v>
      </c>
      <c r="G48">
        <v>474</v>
      </c>
      <c r="H48" t="s">
        <v>179</v>
      </c>
    </row>
    <row r="49" spans="2:3" ht="12.75">
      <c r="B49" t="s">
        <v>162</v>
      </c>
      <c r="C49">
        <f>SLOPE(C48:G48,C47:G47)</f>
        <v>48.1</v>
      </c>
    </row>
    <row r="50" spans="2:3" ht="12.75">
      <c r="B50" t="s">
        <v>129</v>
      </c>
      <c r="C50">
        <f>INTERCEPT(C48:G48,C47:G47)</f>
        <v>238.7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2">
      <selection activeCell="N30" sqref="N30"/>
    </sheetView>
  </sheetViews>
  <sheetFormatPr defaultColWidth="9.00390625" defaultRowHeight="12.75"/>
  <cols>
    <col min="1" max="1" width="17.375" style="0" customWidth="1"/>
    <col min="2" max="16384" width="5.75390625" style="0" customWidth="1"/>
  </cols>
  <sheetData>
    <row r="1" ht="15.75">
      <c r="A1" s="1" t="s">
        <v>180</v>
      </c>
    </row>
    <row r="5" spans="1:2" ht="12.75">
      <c r="A5" s="10" t="s">
        <v>11</v>
      </c>
      <c r="B5" s="10">
        <v>2</v>
      </c>
    </row>
    <row r="6" spans="1:10" ht="12.75">
      <c r="A6" t="s">
        <v>181</v>
      </c>
      <c r="B6">
        <v>19.6</v>
      </c>
      <c r="C6">
        <v>19.8</v>
      </c>
      <c r="D6">
        <v>21.2</v>
      </c>
      <c r="E6">
        <v>22.2</v>
      </c>
      <c r="F6">
        <v>22.7</v>
      </c>
      <c r="G6">
        <v>23.2</v>
      </c>
      <c r="H6">
        <v>23.8</v>
      </c>
      <c r="I6">
        <v>24.6</v>
      </c>
      <c r="J6">
        <v>25.4</v>
      </c>
    </row>
    <row r="7" spans="1:10" ht="12.75">
      <c r="A7" t="s">
        <v>182</v>
      </c>
      <c r="B7">
        <v>124</v>
      </c>
      <c r="C7">
        <v>125</v>
      </c>
      <c r="D7">
        <v>128</v>
      </c>
      <c r="E7">
        <v>131</v>
      </c>
      <c r="F7">
        <v>133</v>
      </c>
      <c r="G7">
        <v>134</v>
      </c>
      <c r="H7">
        <v>136</v>
      </c>
      <c r="I7">
        <v>139</v>
      </c>
      <c r="J7">
        <v>142</v>
      </c>
    </row>
    <row r="8" spans="1:11" ht="12.75">
      <c r="A8" t="s">
        <v>183</v>
      </c>
      <c r="B8">
        <f>$B$9/B7</f>
        <v>0.024327461016546068</v>
      </c>
      <c r="C8">
        <f aca="true" t="shared" si="0" ref="C8:J8">$B$9/C7</f>
        <v>0.0241328413284137</v>
      </c>
      <c r="D8">
        <f t="shared" si="0"/>
        <v>0.023567227859779005</v>
      </c>
      <c r="E8">
        <f t="shared" si="0"/>
        <v>0.02302752035153979</v>
      </c>
      <c r="F8">
        <f t="shared" si="0"/>
        <v>0.022681241850012877</v>
      </c>
      <c r="G8">
        <f t="shared" si="0"/>
        <v>0.022511978851132184</v>
      </c>
      <c r="H8">
        <f t="shared" si="0"/>
        <v>0.022180920338615535</v>
      </c>
      <c r="I8">
        <f t="shared" si="0"/>
        <v>0.021702195439220955</v>
      </c>
      <c r="J8">
        <f t="shared" si="0"/>
        <v>0.021243698352476848</v>
      </c>
      <c r="K8">
        <f>AVERAGE(B8:J8)</f>
        <v>0.022819453931970775</v>
      </c>
    </row>
    <row r="9" spans="1:2" ht="12.75">
      <c r="A9" s="12" t="s">
        <v>184</v>
      </c>
      <c r="B9" s="6">
        <f>SLOPE(B7:J7,B6:J6)</f>
        <v>3.0166051660517126</v>
      </c>
    </row>
    <row r="10" spans="1:2" ht="12.75">
      <c r="A10" s="12" t="s">
        <v>185</v>
      </c>
      <c r="B10" s="5">
        <f>INTERCEPT(B7:J7,B6:J6)</f>
        <v>64.57082820828091</v>
      </c>
    </row>
    <row r="11" spans="1:5" ht="12.75">
      <c r="A11" s="12" t="s">
        <v>186</v>
      </c>
      <c r="B11">
        <f>B9*25+B10</f>
        <v>139.98595735957372</v>
      </c>
      <c r="D11" t="s">
        <v>187</v>
      </c>
      <c r="E11">
        <f>-B10/B9</f>
        <v>-21.40513081889153</v>
      </c>
    </row>
    <row r="12" spans="1:2" ht="12.75">
      <c r="A12" s="12" t="s">
        <v>188</v>
      </c>
      <c r="B12" s="3">
        <f>B11/B9</f>
        <v>46.40513081889153</v>
      </c>
    </row>
    <row r="13" spans="1:2" ht="12.75">
      <c r="A13" s="12" t="s">
        <v>189</v>
      </c>
      <c r="B13" s="13">
        <f>1/B12</f>
        <v>0.021549341255017</v>
      </c>
    </row>
    <row r="15" spans="1:2" ht="12.75">
      <c r="A15" s="10" t="s">
        <v>11</v>
      </c>
      <c r="B15" s="10" t="s">
        <v>13</v>
      </c>
    </row>
    <row r="16" spans="1:16" ht="12.75">
      <c r="A16" t="s">
        <v>181</v>
      </c>
      <c r="B16">
        <v>16</v>
      </c>
      <c r="C16">
        <v>16.5</v>
      </c>
      <c r="D16">
        <v>16.8</v>
      </c>
      <c r="E16">
        <v>17</v>
      </c>
      <c r="F16">
        <v>17.3</v>
      </c>
      <c r="G16">
        <v>17.6</v>
      </c>
      <c r="H16">
        <v>17.9</v>
      </c>
      <c r="I16">
        <v>18.8</v>
      </c>
      <c r="J16">
        <v>19.5</v>
      </c>
      <c r="K16">
        <v>20.4</v>
      </c>
      <c r="L16">
        <v>21.2</v>
      </c>
      <c r="M16">
        <v>21.8</v>
      </c>
      <c r="N16">
        <v>22.8</v>
      </c>
      <c r="O16">
        <v>23.4</v>
      </c>
      <c r="P16">
        <v>25.4</v>
      </c>
    </row>
    <row r="17" spans="1:16" ht="12.75">
      <c r="A17" t="s">
        <v>182</v>
      </c>
      <c r="B17">
        <v>188</v>
      </c>
      <c r="C17">
        <v>190</v>
      </c>
      <c r="D17">
        <v>191</v>
      </c>
      <c r="E17">
        <v>192</v>
      </c>
      <c r="F17">
        <v>193</v>
      </c>
      <c r="G17">
        <v>194</v>
      </c>
      <c r="H17">
        <v>196</v>
      </c>
      <c r="I17">
        <v>199</v>
      </c>
      <c r="J17">
        <v>202</v>
      </c>
      <c r="K17">
        <v>206</v>
      </c>
      <c r="L17">
        <v>210</v>
      </c>
      <c r="M17">
        <v>212</v>
      </c>
      <c r="N17">
        <v>218</v>
      </c>
      <c r="O17">
        <v>221</v>
      </c>
      <c r="P17">
        <v>227</v>
      </c>
    </row>
    <row r="18" spans="1:17" ht="12.75">
      <c r="A18" t="s">
        <v>183</v>
      </c>
      <c r="B18">
        <f>$B19/B17</f>
        <v>0.022938532217163694</v>
      </c>
      <c r="C18">
        <f aca="true" t="shared" si="1" ref="C18:P18">$B19/C17</f>
        <v>0.022697073983298812</v>
      </c>
      <c r="D18">
        <f t="shared" si="1"/>
        <v>0.022578241135218714</v>
      </c>
      <c r="E18">
        <f t="shared" si="1"/>
        <v>0.02246064612930612</v>
      </c>
      <c r="F18">
        <f t="shared" si="1"/>
        <v>0.02234426972449106</v>
      </c>
      <c r="G18">
        <f t="shared" si="1"/>
        <v>0.022229093076426672</v>
      </c>
      <c r="H18">
        <f t="shared" si="1"/>
        <v>0.022002265596054973</v>
      </c>
      <c r="I18">
        <f t="shared" si="1"/>
        <v>0.02167057314988329</v>
      </c>
      <c r="J18">
        <f t="shared" si="1"/>
        <v>0.021348732954587994</v>
      </c>
      <c r="K18">
        <f t="shared" si="1"/>
        <v>0.02093419445061541</v>
      </c>
      <c r="L18">
        <f t="shared" si="1"/>
        <v>0.020535447889651306</v>
      </c>
      <c r="M18">
        <f t="shared" si="1"/>
        <v>0.0203417172491829</v>
      </c>
      <c r="N18">
        <f t="shared" si="1"/>
        <v>0.019781853471682452</v>
      </c>
      <c r="O18">
        <f t="shared" si="1"/>
        <v>0.019513321524103053</v>
      </c>
      <c r="P18">
        <f t="shared" si="1"/>
        <v>0.018997550911131166</v>
      </c>
      <c r="Q18">
        <f>AVERAGE(B18:P18)</f>
        <v>0.021358234230853177</v>
      </c>
    </row>
    <row r="19" spans="1:2" ht="12.75">
      <c r="A19" s="12" t="s">
        <v>184</v>
      </c>
      <c r="B19" s="6">
        <f>SLOPE(B17:P17,B16:P16)</f>
        <v>4.312444056826775</v>
      </c>
    </row>
    <row r="20" spans="1:2" ht="12.75">
      <c r="A20" s="12" t="s">
        <v>185</v>
      </c>
      <c r="B20" s="5">
        <f>INTERCEPT(B17:P17,B16:P16)</f>
        <v>118.5360905189234</v>
      </c>
    </row>
    <row r="21" spans="1:5" ht="12.75">
      <c r="A21" s="12" t="s">
        <v>186</v>
      </c>
      <c r="B21" s="3">
        <f>B19*25+B20</f>
        <v>226.34719193959276</v>
      </c>
      <c r="D21" t="s">
        <v>187</v>
      </c>
      <c r="E21">
        <f>-B20/B19</f>
        <v>-27.48698625580451</v>
      </c>
    </row>
    <row r="22" spans="1:2" ht="12.75">
      <c r="A22" s="12" t="s">
        <v>188</v>
      </c>
      <c r="B22" s="3">
        <f>B21/B19</f>
        <v>52.48698625580451</v>
      </c>
    </row>
    <row r="23" spans="1:2" ht="12.75">
      <c r="A23" s="12" t="s">
        <v>189</v>
      </c>
      <c r="B23" s="13">
        <f>1/B22</f>
        <v>0.019052341758132675</v>
      </c>
    </row>
    <row r="25" spans="1:2" ht="12.75">
      <c r="A25" t="s">
        <v>190</v>
      </c>
      <c r="B25">
        <f>AVERAGE(B8:J8,B18:P18)</f>
        <v>0.02190619161877227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9"/>
  <sheetViews>
    <sheetView workbookViewId="0" topLeftCell="A110">
      <selection activeCell="G126" sqref="G126"/>
    </sheetView>
  </sheetViews>
  <sheetFormatPr defaultColWidth="9.00390625" defaultRowHeight="12.75"/>
  <cols>
    <col min="1" max="1" width="12.25390625" style="0" customWidth="1"/>
    <col min="2" max="16384" width="5.75390625" style="0" customWidth="1"/>
  </cols>
  <sheetData>
    <row r="1" ht="15.75">
      <c r="A1" s="1" t="s">
        <v>53</v>
      </c>
    </row>
    <row r="2" ht="12.75">
      <c r="A2" t="s">
        <v>54</v>
      </c>
    </row>
    <row r="5" spans="1:2" ht="12.75">
      <c r="A5" s="10" t="s">
        <v>11</v>
      </c>
      <c r="B5" s="10">
        <v>1</v>
      </c>
    </row>
    <row r="6" spans="1:15" ht="12.75">
      <c r="A6" t="s">
        <v>55</v>
      </c>
      <c r="B6">
        <v>0</v>
      </c>
      <c r="C6">
        <v>0.5</v>
      </c>
      <c r="D6">
        <v>1</v>
      </c>
      <c r="E6">
        <v>1.5</v>
      </c>
      <c r="F6">
        <v>2</v>
      </c>
      <c r="G6">
        <v>2.5</v>
      </c>
      <c r="H6">
        <v>3</v>
      </c>
      <c r="I6">
        <v>3.5</v>
      </c>
      <c r="J6">
        <v>4</v>
      </c>
      <c r="K6">
        <v>4.5</v>
      </c>
      <c r="L6">
        <v>5</v>
      </c>
      <c r="M6">
        <v>5.5</v>
      </c>
      <c r="O6" t="s">
        <v>56</v>
      </c>
    </row>
    <row r="7" spans="1:15" ht="12.75">
      <c r="A7" t="s">
        <v>57</v>
      </c>
      <c r="B7">
        <v>6.2</v>
      </c>
      <c r="C7">
        <v>6.2</v>
      </c>
      <c r="D7">
        <v>5.9</v>
      </c>
      <c r="E7">
        <v>5.9</v>
      </c>
      <c r="F7">
        <v>5.7</v>
      </c>
      <c r="G7">
        <v>5.4</v>
      </c>
      <c r="H7">
        <v>4.9</v>
      </c>
      <c r="I7">
        <v>3.4</v>
      </c>
      <c r="J7">
        <v>2.7</v>
      </c>
      <c r="K7">
        <v>2.3</v>
      </c>
      <c r="L7">
        <v>2</v>
      </c>
      <c r="M7">
        <v>1.9</v>
      </c>
      <c r="O7">
        <v>3.4</v>
      </c>
    </row>
    <row r="8" spans="1:15" ht="12.75">
      <c r="A8" t="s">
        <v>58</v>
      </c>
      <c r="B8">
        <v>7.32</v>
      </c>
      <c r="C8">
        <v>6.92</v>
      </c>
      <c r="D8">
        <v>6.58</v>
      </c>
      <c r="E8">
        <v>6.38</v>
      </c>
      <c r="F8">
        <v>6.1</v>
      </c>
      <c r="G8">
        <v>5.81</v>
      </c>
      <c r="H8">
        <v>5.4</v>
      </c>
      <c r="I8">
        <v>4.27</v>
      </c>
      <c r="J8">
        <v>3.75</v>
      </c>
      <c r="K8">
        <v>3.46</v>
      </c>
      <c r="L8">
        <v>3.25</v>
      </c>
      <c r="M8">
        <v>3.13</v>
      </c>
      <c r="O8">
        <v>3.4</v>
      </c>
    </row>
    <row r="10" spans="1:15" ht="12.75">
      <c r="A10" t="s">
        <v>55</v>
      </c>
      <c r="B10">
        <v>0</v>
      </c>
      <c r="C10">
        <v>0.5</v>
      </c>
      <c r="D10">
        <v>1</v>
      </c>
      <c r="E10">
        <v>1.5</v>
      </c>
      <c r="F10">
        <v>2</v>
      </c>
      <c r="G10">
        <v>2.5</v>
      </c>
      <c r="H10">
        <v>3</v>
      </c>
      <c r="I10">
        <v>3.5</v>
      </c>
      <c r="J10">
        <v>4</v>
      </c>
      <c r="K10">
        <v>4.5</v>
      </c>
      <c r="L10">
        <v>5</v>
      </c>
      <c r="M10">
        <v>5.5</v>
      </c>
      <c r="N10">
        <v>6</v>
      </c>
      <c r="O10">
        <v>3.6</v>
      </c>
    </row>
    <row r="11" spans="1:15" ht="12.75">
      <c r="A11" t="s">
        <v>57</v>
      </c>
      <c r="B11">
        <v>6.7</v>
      </c>
      <c r="C11">
        <v>6.1</v>
      </c>
      <c r="D11">
        <v>6</v>
      </c>
      <c r="E11">
        <v>6</v>
      </c>
      <c r="F11">
        <v>5.7</v>
      </c>
      <c r="G11">
        <v>5.4</v>
      </c>
      <c r="H11">
        <v>5</v>
      </c>
      <c r="I11">
        <v>4</v>
      </c>
      <c r="J11">
        <v>2.9</v>
      </c>
      <c r="K11">
        <v>2.4</v>
      </c>
      <c r="L11">
        <v>2.2</v>
      </c>
      <c r="M11">
        <v>2</v>
      </c>
      <c r="N11">
        <v>1.8</v>
      </c>
      <c r="O11">
        <v>3.6</v>
      </c>
    </row>
    <row r="12" spans="1:14" ht="12.75">
      <c r="A12" t="s">
        <v>58</v>
      </c>
      <c r="B12">
        <v>6.95</v>
      </c>
      <c r="C12">
        <v>6.6</v>
      </c>
      <c r="D12">
        <v>6.46</v>
      </c>
      <c r="E12">
        <v>6.22</v>
      </c>
      <c r="F12">
        <v>6.02</v>
      </c>
      <c r="G12">
        <v>5.83</v>
      </c>
      <c r="H12">
        <v>5.41</v>
      </c>
      <c r="I12">
        <v>4.57</v>
      </c>
      <c r="J12">
        <v>3.8</v>
      </c>
      <c r="K12">
        <v>3.48</v>
      </c>
      <c r="L12">
        <v>3.25</v>
      </c>
      <c r="M12">
        <v>3.12</v>
      </c>
      <c r="N12">
        <v>3.02</v>
      </c>
    </row>
    <row r="14" spans="1:15" ht="12.75">
      <c r="A14" t="s">
        <v>55</v>
      </c>
      <c r="B14">
        <v>0</v>
      </c>
      <c r="C14">
        <v>0.5</v>
      </c>
      <c r="D14">
        <v>1</v>
      </c>
      <c r="E14">
        <v>1.5</v>
      </c>
      <c r="F14">
        <v>2</v>
      </c>
      <c r="G14">
        <v>2.5</v>
      </c>
      <c r="H14">
        <v>3</v>
      </c>
      <c r="I14">
        <v>3.5</v>
      </c>
      <c r="J14">
        <v>4</v>
      </c>
      <c r="K14">
        <v>4.5</v>
      </c>
      <c r="L14">
        <v>5</v>
      </c>
      <c r="M14">
        <v>5.5</v>
      </c>
      <c r="N14">
        <v>6</v>
      </c>
      <c r="O14">
        <v>3.6</v>
      </c>
    </row>
    <row r="15" spans="1:15" ht="12.75">
      <c r="A15" t="s">
        <v>57</v>
      </c>
      <c r="B15">
        <v>6.4</v>
      </c>
      <c r="C15">
        <v>6.3</v>
      </c>
      <c r="D15">
        <v>6.2</v>
      </c>
      <c r="E15">
        <v>6</v>
      </c>
      <c r="F15">
        <v>5.8</v>
      </c>
      <c r="G15">
        <v>5.5</v>
      </c>
      <c r="H15">
        <v>5.1</v>
      </c>
      <c r="I15">
        <v>4.2</v>
      </c>
      <c r="J15">
        <v>2.9</v>
      </c>
      <c r="K15">
        <v>2.5</v>
      </c>
      <c r="L15">
        <v>2.2</v>
      </c>
      <c r="M15">
        <v>2.1</v>
      </c>
      <c r="N15">
        <v>1.9</v>
      </c>
      <c r="O15">
        <v>3.6</v>
      </c>
    </row>
    <row r="16" spans="1:14" ht="12.75">
      <c r="A16" t="s">
        <v>58</v>
      </c>
      <c r="B16">
        <v>6.77</v>
      </c>
      <c r="C16">
        <v>6.62</v>
      </c>
      <c r="D16">
        <v>6.43</v>
      </c>
      <c r="E16">
        <v>6.18</v>
      </c>
      <c r="F16">
        <v>6</v>
      </c>
      <c r="G16">
        <v>5.7</v>
      </c>
      <c r="H16">
        <v>5.39</v>
      </c>
      <c r="I16">
        <v>4.68</v>
      </c>
      <c r="J16">
        <v>3.8</v>
      </c>
      <c r="K16">
        <v>3.47</v>
      </c>
      <c r="L16">
        <v>3.26</v>
      </c>
      <c r="M16">
        <v>3.14</v>
      </c>
      <c r="N16">
        <v>3.04</v>
      </c>
    </row>
    <row r="19" spans="1:28" ht="12.75">
      <c r="A19" s="10" t="s">
        <v>11</v>
      </c>
      <c r="B19" s="10">
        <v>2</v>
      </c>
      <c r="AB19" t="s">
        <v>56</v>
      </c>
    </row>
    <row r="20" spans="1:26" ht="12.75">
      <c r="A20" t="s">
        <v>55</v>
      </c>
      <c r="B20">
        <v>0</v>
      </c>
      <c r="C20">
        <v>0.2</v>
      </c>
      <c r="D20">
        <v>0.4</v>
      </c>
      <c r="E20">
        <v>0.6</v>
      </c>
      <c r="F20">
        <v>0.8</v>
      </c>
      <c r="G20">
        <v>1</v>
      </c>
      <c r="H20">
        <v>1.2</v>
      </c>
      <c r="I20">
        <v>1.4</v>
      </c>
      <c r="J20">
        <v>1.6</v>
      </c>
      <c r="K20">
        <v>1.8</v>
      </c>
      <c r="L20">
        <v>2</v>
      </c>
      <c r="M20">
        <v>2.2</v>
      </c>
      <c r="N20">
        <v>2.4</v>
      </c>
      <c r="O20">
        <v>2.6</v>
      </c>
      <c r="P20">
        <v>2.8</v>
      </c>
      <c r="Q20">
        <v>3</v>
      </c>
      <c r="R20">
        <v>3.2</v>
      </c>
      <c r="S20">
        <v>3.4</v>
      </c>
      <c r="T20">
        <v>3.6</v>
      </c>
      <c r="U20">
        <v>4</v>
      </c>
      <c r="V20">
        <v>4.2</v>
      </c>
      <c r="W20">
        <v>4.4</v>
      </c>
      <c r="X20">
        <v>4.6</v>
      </c>
      <c r="Y20">
        <v>4.8</v>
      </c>
      <c r="Z20">
        <v>5</v>
      </c>
    </row>
    <row r="21" spans="1:28" ht="12.75">
      <c r="A21" t="s">
        <v>57</v>
      </c>
      <c r="B21">
        <v>6</v>
      </c>
      <c r="C21">
        <v>6</v>
      </c>
      <c r="D21">
        <v>6.1</v>
      </c>
      <c r="E21">
        <v>6.2</v>
      </c>
      <c r="F21">
        <v>6.1</v>
      </c>
      <c r="G21">
        <v>6</v>
      </c>
      <c r="H21">
        <v>6.1</v>
      </c>
      <c r="I21">
        <v>6.1</v>
      </c>
      <c r="J21">
        <v>6</v>
      </c>
      <c r="K21">
        <v>5.9</v>
      </c>
      <c r="L21">
        <v>5.9</v>
      </c>
      <c r="M21">
        <v>5.8</v>
      </c>
      <c r="N21">
        <v>5.7</v>
      </c>
      <c r="O21">
        <v>5.6</v>
      </c>
      <c r="P21">
        <v>5.5</v>
      </c>
      <c r="Q21">
        <v>5.3</v>
      </c>
      <c r="R21">
        <v>5.1</v>
      </c>
      <c r="S21">
        <v>4.8</v>
      </c>
      <c r="T21">
        <v>4.3</v>
      </c>
      <c r="U21">
        <v>3.2</v>
      </c>
      <c r="V21">
        <v>2.9</v>
      </c>
      <c r="W21">
        <v>2.7</v>
      </c>
      <c r="X21">
        <v>2.5</v>
      </c>
      <c r="Y21">
        <v>2.4</v>
      </c>
      <c r="Z21">
        <v>2.3</v>
      </c>
      <c r="AB21">
        <v>3.9</v>
      </c>
    </row>
    <row r="22" spans="1:28" ht="12.75">
      <c r="A22" t="s">
        <v>58</v>
      </c>
      <c r="B22">
        <v>6.4</v>
      </c>
      <c r="C22">
        <v>6.45</v>
      </c>
      <c r="D22">
        <v>6.43</v>
      </c>
      <c r="E22">
        <v>6.41</v>
      </c>
      <c r="F22">
        <v>6.34</v>
      </c>
      <c r="G22">
        <v>6.33</v>
      </c>
      <c r="H22">
        <v>6.28</v>
      </c>
      <c r="I22">
        <v>6.25</v>
      </c>
      <c r="J22">
        <v>6.21</v>
      </c>
      <c r="K22">
        <v>6.15</v>
      </c>
      <c r="L22">
        <v>6.08</v>
      </c>
      <c r="M22">
        <v>5.97</v>
      </c>
      <c r="N22">
        <v>5.9</v>
      </c>
      <c r="O22">
        <v>5.78</v>
      </c>
      <c r="P22">
        <v>5.68</v>
      </c>
      <c r="Q22">
        <v>5.55</v>
      </c>
      <c r="R22">
        <v>5.35</v>
      </c>
      <c r="S22">
        <v>5.09</v>
      </c>
      <c r="T22">
        <v>4.7</v>
      </c>
      <c r="U22">
        <v>3.93</v>
      </c>
      <c r="V22">
        <v>3.69</v>
      </c>
      <c r="W22">
        <v>3.58</v>
      </c>
      <c r="X22">
        <v>3.44</v>
      </c>
      <c r="Y22">
        <v>3.36</v>
      </c>
      <c r="Z22">
        <v>3.27</v>
      </c>
      <c r="AB22">
        <v>3.9</v>
      </c>
    </row>
    <row r="24" spans="1:27" ht="12.75">
      <c r="A24" t="s">
        <v>55</v>
      </c>
      <c r="B24">
        <v>0</v>
      </c>
      <c r="C24">
        <v>0.2</v>
      </c>
      <c r="D24">
        <v>0.4</v>
      </c>
      <c r="E24">
        <v>0.6</v>
      </c>
      <c r="F24">
        <v>0.8</v>
      </c>
      <c r="G24">
        <v>1</v>
      </c>
      <c r="H24">
        <v>1.2</v>
      </c>
      <c r="I24">
        <v>1.4</v>
      </c>
      <c r="J24">
        <v>1.6</v>
      </c>
      <c r="K24">
        <v>1.8</v>
      </c>
      <c r="L24">
        <v>2</v>
      </c>
      <c r="M24">
        <v>2.1</v>
      </c>
      <c r="N24">
        <v>2.4</v>
      </c>
      <c r="O24">
        <v>2.6</v>
      </c>
      <c r="P24">
        <v>2.8</v>
      </c>
      <c r="Q24">
        <v>3</v>
      </c>
      <c r="R24">
        <v>3.2</v>
      </c>
      <c r="S24">
        <v>3.4</v>
      </c>
      <c r="T24">
        <v>3.6</v>
      </c>
      <c r="U24">
        <v>3.8</v>
      </c>
      <c r="V24">
        <v>4</v>
      </c>
      <c r="W24">
        <v>4.2</v>
      </c>
      <c r="X24">
        <v>4.4</v>
      </c>
      <c r="Y24">
        <v>4.6</v>
      </c>
      <c r="Z24">
        <v>4.8</v>
      </c>
      <c r="AA24">
        <v>5</v>
      </c>
    </row>
    <row r="25" spans="1:28" ht="12.75">
      <c r="A25" t="s">
        <v>57</v>
      </c>
      <c r="B25">
        <v>6.4</v>
      </c>
      <c r="C25">
        <v>6.5</v>
      </c>
      <c r="D25">
        <v>6.5</v>
      </c>
      <c r="E25">
        <v>6.4</v>
      </c>
      <c r="F25">
        <v>6.4</v>
      </c>
      <c r="G25">
        <v>6.3</v>
      </c>
      <c r="H25">
        <v>6.3</v>
      </c>
      <c r="I25">
        <v>6.2</v>
      </c>
      <c r="J25">
        <v>6.2</v>
      </c>
      <c r="K25">
        <v>6.1</v>
      </c>
      <c r="L25">
        <v>6</v>
      </c>
      <c r="M25">
        <v>6</v>
      </c>
      <c r="N25">
        <v>5.8</v>
      </c>
      <c r="O25">
        <v>5.7</v>
      </c>
      <c r="P25">
        <v>5.7</v>
      </c>
      <c r="Q25">
        <v>5.5</v>
      </c>
      <c r="R25">
        <v>5.4</v>
      </c>
      <c r="S25">
        <v>5.2</v>
      </c>
      <c r="T25">
        <v>4.8</v>
      </c>
      <c r="U25">
        <v>4.4</v>
      </c>
      <c r="V25">
        <v>3.7</v>
      </c>
      <c r="W25">
        <v>3.3</v>
      </c>
      <c r="X25">
        <v>3</v>
      </c>
      <c r="Y25">
        <v>2.8</v>
      </c>
      <c r="Z25">
        <v>2.6</v>
      </c>
      <c r="AA25">
        <v>2.5</v>
      </c>
      <c r="AB25">
        <v>3.9</v>
      </c>
    </row>
    <row r="26" spans="1:28" ht="12.75">
      <c r="A26" t="s">
        <v>58</v>
      </c>
      <c r="B26">
        <v>6.59</v>
      </c>
      <c r="C26">
        <v>6.6</v>
      </c>
      <c r="D26">
        <v>6.56</v>
      </c>
      <c r="E26">
        <v>6.51</v>
      </c>
      <c r="F26">
        <v>6.46</v>
      </c>
      <c r="G26">
        <v>6.43</v>
      </c>
      <c r="H26">
        <v>6.37</v>
      </c>
      <c r="I26">
        <v>6.33</v>
      </c>
      <c r="J26">
        <v>6.23</v>
      </c>
      <c r="K26">
        <v>6.17</v>
      </c>
      <c r="L26">
        <v>6.08</v>
      </c>
      <c r="M26">
        <v>6.05</v>
      </c>
      <c r="N26">
        <v>6</v>
      </c>
      <c r="O26">
        <v>5.9</v>
      </c>
      <c r="P26">
        <v>5.8</v>
      </c>
      <c r="Q26">
        <v>5.68</v>
      </c>
      <c r="R26">
        <v>5.52</v>
      </c>
      <c r="S26">
        <v>5.36</v>
      </c>
      <c r="T26">
        <v>5.1</v>
      </c>
      <c r="U26">
        <v>4.74</v>
      </c>
      <c r="V26">
        <v>4.25</v>
      </c>
      <c r="W26">
        <v>3.94</v>
      </c>
      <c r="X26">
        <v>3.74</v>
      </c>
      <c r="Y26">
        <v>3.55</v>
      </c>
      <c r="Z26">
        <v>3.44</v>
      </c>
      <c r="AA26">
        <v>3.36</v>
      </c>
      <c r="AB26">
        <v>3.9</v>
      </c>
    </row>
    <row r="28" spans="1:27" ht="12.75">
      <c r="A28" t="s">
        <v>55</v>
      </c>
      <c r="B28">
        <v>0</v>
      </c>
      <c r="C28">
        <v>0.2</v>
      </c>
      <c r="D28">
        <v>0.4</v>
      </c>
      <c r="E28">
        <v>0.6</v>
      </c>
      <c r="F28">
        <v>0.8</v>
      </c>
      <c r="G28">
        <v>1</v>
      </c>
      <c r="H28">
        <v>1.2</v>
      </c>
      <c r="I28">
        <v>1.4</v>
      </c>
      <c r="J28">
        <v>1.6</v>
      </c>
      <c r="K28">
        <v>1.8</v>
      </c>
      <c r="L28">
        <v>2</v>
      </c>
      <c r="M28">
        <v>2.2</v>
      </c>
      <c r="N28">
        <v>2.4</v>
      </c>
      <c r="O28">
        <v>2.6</v>
      </c>
      <c r="P28">
        <v>2.8</v>
      </c>
      <c r="Q28">
        <v>3</v>
      </c>
      <c r="R28">
        <v>3.2</v>
      </c>
      <c r="S28">
        <v>3.4</v>
      </c>
      <c r="T28">
        <v>3.6</v>
      </c>
      <c r="U28">
        <v>3.8</v>
      </c>
      <c r="V28">
        <v>4</v>
      </c>
      <c r="W28">
        <v>4.2</v>
      </c>
      <c r="X28">
        <v>4.4</v>
      </c>
      <c r="Y28">
        <v>4.6</v>
      </c>
      <c r="Z28">
        <v>4.8</v>
      </c>
      <c r="AA28">
        <v>5</v>
      </c>
    </row>
    <row r="29" spans="1:28" ht="12.75">
      <c r="A29" t="s">
        <v>57</v>
      </c>
      <c r="B29">
        <v>6.5</v>
      </c>
      <c r="C29">
        <v>6.5</v>
      </c>
      <c r="D29">
        <v>6.4</v>
      </c>
      <c r="E29">
        <v>6.4</v>
      </c>
      <c r="F29">
        <v>6.3</v>
      </c>
      <c r="G29">
        <v>6.3</v>
      </c>
      <c r="H29">
        <v>6.3</v>
      </c>
      <c r="I29">
        <v>6.2</v>
      </c>
      <c r="J29">
        <v>6.2</v>
      </c>
      <c r="K29">
        <v>6.1</v>
      </c>
      <c r="L29">
        <v>6</v>
      </c>
      <c r="M29">
        <v>5.9</v>
      </c>
      <c r="N29">
        <v>5.9</v>
      </c>
      <c r="O29">
        <v>5.8</v>
      </c>
      <c r="P29">
        <v>5.7</v>
      </c>
      <c r="Q29">
        <v>5.6</v>
      </c>
      <c r="R29">
        <v>5.5</v>
      </c>
      <c r="S29">
        <v>5.2</v>
      </c>
      <c r="T29">
        <v>4.8</v>
      </c>
      <c r="U29">
        <v>4.3</v>
      </c>
      <c r="V29">
        <v>3.9</v>
      </c>
      <c r="W29">
        <v>3.3</v>
      </c>
      <c r="X29">
        <v>3</v>
      </c>
      <c r="Y29">
        <v>2.8</v>
      </c>
      <c r="Z29">
        <v>2.7</v>
      </c>
      <c r="AA29">
        <v>2.5</v>
      </c>
      <c r="AB29">
        <v>4.3</v>
      </c>
    </row>
    <row r="30" spans="1:28" ht="12.75">
      <c r="A30" t="s">
        <v>58</v>
      </c>
      <c r="B30">
        <v>6.71</v>
      </c>
      <c r="C30">
        <v>6.66</v>
      </c>
      <c r="D30">
        <v>6.62</v>
      </c>
      <c r="E30">
        <v>6.58</v>
      </c>
      <c r="F30">
        <v>6.5</v>
      </c>
      <c r="G30">
        <v>6.44</v>
      </c>
      <c r="H30">
        <v>6.33</v>
      </c>
      <c r="I30">
        <v>6.29</v>
      </c>
      <c r="J30">
        <v>6.2</v>
      </c>
      <c r="K30">
        <v>6.13</v>
      </c>
      <c r="L30">
        <v>6.08</v>
      </c>
      <c r="M30">
        <v>6.03</v>
      </c>
      <c r="N30">
        <v>5.99</v>
      </c>
      <c r="O30">
        <v>5.92</v>
      </c>
      <c r="P30">
        <v>5.74</v>
      </c>
      <c r="Q30">
        <v>5.63</v>
      </c>
      <c r="R30">
        <v>5.56</v>
      </c>
      <c r="S30">
        <v>5.34</v>
      </c>
      <c r="T30">
        <v>5.12</v>
      </c>
      <c r="U30">
        <v>4.8</v>
      </c>
      <c r="V30">
        <v>4.31</v>
      </c>
      <c r="W30">
        <v>4.01</v>
      </c>
      <c r="X30">
        <v>3.79</v>
      </c>
      <c r="Y30">
        <v>3.6</v>
      </c>
      <c r="Z30">
        <v>3.6</v>
      </c>
      <c r="AA30">
        <v>3.38</v>
      </c>
      <c r="AB30">
        <v>4.3</v>
      </c>
    </row>
    <row r="33" spans="1:33" ht="12.75">
      <c r="A33" s="10" t="s">
        <v>11</v>
      </c>
      <c r="B33" s="10" t="s">
        <v>12</v>
      </c>
      <c r="AG33" t="s">
        <v>56</v>
      </c>
    </row>
    <row r="34" spans="1:27" ht="12.75">
      <c r="A34" t="s">
        <v>55</v>
      </c>
      <c r="B34">
        <v>0</v>
      </c>
      <c r="C34">
        <v>0.5</v>
      </c>
      <c r="D34">
        <v>1</v>
      </c>
      <c r="E34">
        <v>1.5</v>
      </c>
      <c r="F34">
        <v>2</v>
      </c>
      <c r="G34">
        <v>2.5</v>
      </c>
      <c r="H34">
        <v>3</v>
      </c>
      <c r="I34">
        <v>3.5</v>
      </c>
      <c r="J34">
        <v>4</v>
      </c>
      <c r="K34">
        <v>4.5</v>
      </c>
      <c r="L34">
        <v>5</v>
      </c>
      <c r="M34">
        <v>5.5</v>
      </c>
      <c r="N34">
        <v>6</v>
      </c>
      <c r="O34">
        <v>6.5</v>
      </c>
      <c r="P34">
        <v>7</v>
      </c>
      <c r="Q34">
        <v>7.5</v>
      </c>
      <c r="R34">
        <v>8</v>
      </c>
      <c r="S34">
        <v>8.5</v>
      </c>
      <c r="T34">
        <v>9</v>
      </c>
      <c r="U34">
        <v>10</v>
      </c>
      <c r="V34">
        <v>10.5</v>
      </c>
      <c r="W34">
        <v>11</v>
      </c>
      <c r="X34">
        <v>11.5</v>
      </c>
      <c r="Y34">
        <v>12</v>
      </c>
      <c r="Z34">
        <v>12.5</v>
      </c>
      <c r="AA34">
        <v>13</v>
      </c>
    </row>
    <row r="35" spans="1:33" ht="12.75">
      <c r="A35" t="s">
        <v>57</v>
      </c>
      <c r="B35">
        <v>7.2</v>
      </c>
      <c r="C35">
        <v>7</v>
      </c>
      <c r="D35">
        <v>6.8</v>
      </c>
      <c r="E35">
        <v>6.8</v>
      </c>
      <c r="F35">
        <v>6.7</v>
      </c>
      <c r="G35">
        <v>6.5</v>
      </c>
      <c r="H35">
        <v>6.5</v>
      </c>
      <c r="I35">
        <v>6.4</v>
      </c>
      <c r="J35">
        <v>6.4</v>
      </c>
      <c r="K35">
        <v>6.3</v>
      </c>
      <c r="L35">
        <v>6.3</v>
      </c>
      <c r="M35">
        <v>6.1</v>
      </c>
      <c r="N35">
        <v>6.1</v>
      </c>
      <c r="O35">
        <v>6.1</v>
      </c>
      <c r="P35">
        <v>6</v>
      </c>
      <c r="Q35">
        <v>5.9</v>
      </c>
      <c r="R35">
        <v>5.8</v>
      </c>
      <c r="S35">
        <v>5.7</v>
      </c>
      <c r="T35">
        <v>5.6</v>
      </c>
      <c r="U35">
        <v>5.2</v>
      </c>
      <c r="V35">
        <v>4.8</v>
      </c>
      <c r="W35">
        <v>3.7</v>
      </c>
      <c r="X35">
        <v>2.9</v>
      </c>
      <c r="Y35">
        <v>2.4</v>
      </c>
      <c r="Z35">
        <v>2.2</v>
      </c>
      <c r="AA35">
        <v>2.1</v>
      </c>
      <c r="AG35">
        <v>10.4</v>
      </c>
    </row>
    <row r="36" spans="1:33" ht="12.75">
      <c r="A36" t="s">
        <v>58</v>
      </c>
      <c r="B36">
        <v>7.45</v>
      </c>
      <c r="C36">
        <v>7.27</v>
      </c>
      <c r="D36">
        <v>7.05</v>
      </c>
      <c r="E36">
        <v>6.95</v>
      </c>
      <c r="F36">
        <v>6.9</v>
      </c>
      <c r="G36">
        <v>6.78</v>
      </c>
      <c r="H36">
        <v>6.73</v>
      </c>
      <c r="I36">
        <v>6.64</v>
      </c>
      <c r="J36">
        <v>6.58</v>
      </c>
      <c r="K36">
        <v>6.51</v>
      </c>
      <c r="L36">
        <v>6.45</v>
      </c>
      <c r="M36">
        <v>6.37</v>
      </c>
      <c r="N36">
        <v>6.29</v>
      </c>
      <c r="O36">
        <v>6.22</v>
      </c>
      <c r="P36">
        <v>6.13</v>
      </c>
      <c r="Q36">
        <v>6.05</v>
      </c>
      <c r="R36">
        <v>5.97</v>
      </c>
      <c r="S36">
        <v>5.86</v>
      </c>
      <c r="T36">
        <v>5.76</v>
      </c>
      <c r="U36">
        <v>5.43</v>
      </c>
      <c r="V36">
        <v>5.15</v>
      </c>
      <c r="W36">
        <v>4.3</v>
      </c>
      <c r="X36">
        <v>3.72</v>
      </c>
      <c r="Y36">
        <v>3.45</v>
      </c>
      <c r="Z36">
        <v>3.24</v>
      </c>
      <c r="AA36">
        <v>3.12</v>
      </c>
      <c r="AG36">
        <v>10.5</v>
      </c>
    </row>
    <row r="38" spans="1:32" ht="12.75">
      <c r="A38" t="s">
        <v>55</v>
      </c>
      <c r="B38">
        <v>0</v>
      </c>
      <c r="C38">
        <v>0.5</v>
      </c>
      <c r="D38">
        <v>1</v>
      </c>
      <c r="E38">
        <v>1.5</v>
      </c>
      <c r="F38">
        <v>2</v>
      </c>
      <c r="G38">
        <v>2.5</v>
      </c>
      <c r="H38">
        <v>3</v>
      </c>
      <c r="I38">
        <v>3.5</v>
      </c>
      <c r="J38">
        <v>4</v>
      </c>
      <c r="K38">
        <v>4.5</v>
      </c>
      <c r="L38">
        <v>5</v>
      </c>
      <c r="M38">
        <v>5.5</v>
      </c>
      <c r="N38">
        <v>6</v>
      </c>
      <c r="O38">
        <v>6.5</v>
      </c>
      <c r="P38">
        <v>7</v>
      </c>
      <c r="Q38">
        <v>7.5</v>
      </c>
      <c r="R38">
        <v>8</v>
      </c>
      <c r="S38">
        <v>8.5</v>
      </c>
      <c r="T38">
        <v>9</v>
      </c>
      <c r="U38">
        <v>9.5</v>
      </c>
      <c r="V38">
        <v>10</v>
      </c>
      <c r="W38">
        <v>10.25</v>
      </c>
      <c r="X38">
        <v>10.5</v>
      </c>
      <c r="Y38">
        <v>10.75</v>
      </c>
      <c r="Z38">
        <v>11</v>
      </c>
      <c r="AA38">
        <v>11.25</v>
      </c>
      <c r="AB38">
        <v>11.5</v>
      </c>
      <c r="AC38">
        <v>11.75</v>
      </c>
      <c r="AD38">
        <v>12</v>
      </c>
      <c r="AE38">
        <v>12.5</v>
      </c>
      <c r="AF38">
        <v>13</v>
      </c>
    </row>
    <row r="39" spans="1:33" ht="12.75">
      <c r="A39" t="s">
        <v>57</v>
      </c>
      <c r="B39">
        <v>7.2</v>
      </c>
      <c r="C39">
        <v>7</v>
      </c>
      <c r="D39">
        <v>6.8</v>
      </c>
      <c r="E39">
        <v>6.7</v>
      </c>
      <c r="F39">
        <v>6.6</v>
      </c>
      <c r="G39">
        <v>6.5</v>
      </c>
      <c r="H39">
        <v>6.4</v>
      </c>
      <c r="I39">
        <v>6.3</v>
      </c>
      <c r="J39">
        <v>6.2</v>
      </c>
      <c r="K39">
        <v>6.2</v>
      </c>
      <c r="L39">
        <v>6.1</v>
      </c>
      <c r="M39">
        <v>6</v>
      </c>
      <c r="N39">
        <v>6</v>
      </c>
      <c r="O39">
        <v>5.9</v>
      </c>
      <c r="P39">
        <v>5.8</v>
      </c>
      <c r="Q39">
        <v>5.8</v>
      </c>
      <c r="R39">
        <v>5.7</v>
      </c>
      <c r="S39">
        <v>5.6</v>
      </c>
      <c r="T39">
        <v>5.5</v>
      </c>
      <c r="U39">
        <v>5.4</v>
      </c>
      <c r="V39">
        <v>5.2</v>
      </c>
      <c r="W39">
        <v>5.1</v>
      </c>
      <c r="X39">
        <v>4.9</v>
      </c>
      <c r="Y39">
        <v>4.7</v>
      </c>
      <c r="Z39">
        <v>4.2</v>
      </c>
      <c r="AA39">
        <v>3.4</v>
      </c>
      <c r="AB39">
        <v>3.1</v>
      </c>
      <c r="AC39">
        <v>2.8</v>
      </c>
      <c r="AD39">
        <v>2.6</v>
      </c>
      <c r="AE39">
        <v>2.3</v>
      </c>
      <c r="AF39">
        <v>2.2</v>
      </c>
      <c r="AG39">
        <v>10.5</v>
      </c>
    </row>
    <row r="40" spans="1:33" ht="12.75">
      <c r="A40" t="s">
        <v>58</v>
      </c>
      <c r="B40">
        <v>7.41</v>
      </c>
      <c r="C40">
        <v>7.25</v>
      </c>
      <c r="D40">
        <v>7.09</v>
      </c>
      <c r="E40">
        <v>6.92</v>
      </c>
      <c r="F40">
        <v>6.86</v>
      </c>
      <c r="G40">
        <v>6.77</v>
      </c>
      <c r="H40">
        <v>6.73</v>
      </c>
      <c r="I40">
        <v>6.66</v>
      </c>
      <c r="J40">
        <v>6.56</v>
      </c>
      <c r="K40">
        <v>6.5</v>
      </c>
      <c r="L40">
        <v>6.42</v>
      </c>
      <c r="M40">
        <v>6.36</v>
      </c>
      <c r="N40">
        <v>6.29</v>
      </c>
      <c r="O40">
        <v>6.14</v>
      </c>
      <c r="P40">
        <v>6.1</v>
      </c>
      <c r="Q40">
        <v>6.07</v>
      </c>
      <c r="R40">
        <v>5.95</v>
      </c>
      <c r="S40">
        <v>5.88</v>
      </c>
      <c r="T40">
        <v>5.8</v>
      </c>
      <c r="U40">
        <v>5.61</v>
      </c>
      <c r="V40">
        <v>5.47</v>
      </c>
      <c r="W40">
        <v>5.4</v>
      </c>
      <c r="X40">
        <v>5.27</v>
      </c>
      <c r="Y40">
        <v>5.09</v>
      </c>
      <c r="Z40">
        <v>4.67</v>
      </c>
      <c r="AA40">
        <v>4.13</v>
      </c>
      <c r="AB40">
        <v>3.89</v>
      </c>
      <c r="AC40">
        <v>3.66</v>
      </c>
      <c r="AD40">
        <v>3.5</v>
      </c>
      <c r="AE40">
        <v>3.33</v>
      </c>
      <c r="AF40">
        <v>3.2</v>
      </c>
      <c r="AG40">
        <v>10.5</v>
      </c>
    </row>
    <row r="42" spans="1:17" ht="12.75">
      <c r="A42" t="s">
        <v>55</v>
      </c>
      <c r="B42">
        <v>0</v>
      </c>
      <c r="C42">
        <v>7</v>
      </c>
      <c r="D42">
        <v>8</v>
      </c>
      <c r="E42">
        <v>9</v>
      </c>
      <c r="F42">
        <v>9.5</v>
      </c>
      <c r="G42">
        <v>10</v>
      </c>
      <c r="H42">
        <v>10.25</v>
      </c>
      <c r="I42">
        <v>10.5</v>
      </c>
      <c r="J42">
        <v>10.75</v>
      </c>
      <c r="K42">
        <v>11</v>
      </c>
      <c r="L42">
        <v>11.25</v>
      </c>
      <c r="M42">
        <v>11.5</v>
      </c>
      <c r="N42">
        <v>11.75</v>
      </c>
      <c r="O42">
        <v>12</v>
      </c>
      <c r="P42">
        <v>12.5</v>
      </c>
      <c r="Q42">
        <v>13</v>
      </c>
    </row>
    <row r="43" spans="1:33" ht="12.75">
      <c r="A43" t="s">
        <v>57</v>
      </c>
      <c r="B43">
        <v>7.2</v>
      </c>
      <c r="C43">
        <v>5.8</v>
      </c>
      <c r="D43">
        <v>5.6</v>
      </c>
      <c r="E43">
        <v>5.5</v>
      </c>
      <c r="F43">
        <v>5.2</v>
      </c>
      <c r="G43">
        <v>5</v>
      </c>
      <c r="H43">
        <v>4.9</v>
      </c>
      <c r="I43">
        <v>4.7</v>
      </c>
      <c r="J43">
        <v>4.3</v>
      </c>
      <c r="K43">
        <v>3.8</v>
      </c>
      <c r="L43">
        <v>3.2</v>
      </c>
      <c r="M43">
        <v>2.9</v>
      </c>
      <c r="N43">
        <v>2.7</v>
      </c>
      <c r="O43">
        <v>2.5</v>
      </c>
      <c r="P43">
        <v>2.3</v>
      </c>
      <c r="Q43">
        <v>2.1</v>
      </c>
      <c r="AG43">
        <v>10.4</v>
      </c>
    </row>
    <row r="44" spans="1:33" ht="12.75">
      <c r="A44" t="s">
        <v>58</v>
      </c>
      <c r="B44">
        <v>7.43</v>
      </c>
      <c r="C44">
        <v>6.06</v>
      </c>
      <c r="D44">
        <v>5.9</v>
      </c>
      <c r="E44">
        <v>5.7</v>
      </c>
      <c r="F44">
        <v>5.56</v>
      </c>
      <c r="G44">
        <v>5.36</v>
      </c>
      <c r="H44">
        <v>5.27</v>
      </c>
      <c r="I44">
        <v>5.13</v>
      </c>
      <c r="J44">
        <v>4.83</v>
      </c>
      <c r="K44">
        <v>4.43</v>
      </c>
      <c r="L44">
        <v>3.96</v>
      </c>
      <c r="M44">
        <v>3.77</v>
      </c>
      <c r="N44">
        <v>3.59</v>
      </c>
      <c r="O44">
        <v>3.44</v>
      </c>
      <c r="P44">
        <v>3.3</v>
      </c>
      <c r="Q44">
        <v>3.17</v>
      </c>
      <c r="AG44">
        <v>10.5</v>
      </c>
    </row>
    <row r="47" spans="1:28" ht="12.75">
      <c r="A47" s="10" t="s">
        <v>11</v>
      </c>
      <c r="B47" s="10" t="s">
        <v>13</v>
      </c>
      <c r="AB47" t="s">
        <v>56</v>
      </c>
    </row>
    <row r="48" spans="1:27" ht="12.75">
      <c r="A48" t="s">
        <v>55</v>
      </c>
      <c r="B48">
        <v>0</v>
      </c>
      <c r="C48">
        <v>0.2</v>
      </c>
      <c r="D48">
        <v>0.4</v>
      </c>
      <c r="E48">
        <v>0.6</v>
      </c>
      <c r="F48">
        <v>0.8</v>
      </c>
      <c r="G48">
        <v>1</v>
      </c>
      <c r="H48">
        <v>1.2</v>
      </c>
      <c r="I48">
        <v>1.4</v>
      </c>
      <c r="J48">
        <v>1.6</v>
      </c>
      <c r="K48">
        <v>1.8</v>
      </c>
      <c r="L48">
        <v>2</v>
      </c>
      <c r="M48">
        <v>2.2</v>
      </c>
      <c r="N48">
        <v>2.4</v>
      </c>
      <c r="O48">
        <v>2.6</v>
      </c>
      <c r="P48">
        <v>2.8</v>
      </c>
      <c r="Q48">
        <v>3</v>
      </c>
      <c r="R48">
        <v>3.2</v>
      </c>
      <c r="S48">
        <v>3.4</v>
      </c>
      <c r="T48">
        <v>3.6</v>
      </c>
      <c r="U48">
        <v>3.8</v>
      </c>
      <c r="V48">
        <v>4</v>
      </c>
      <c r="W48">
        <v>4.2</v>
      </c>
      <c r="X48">
        <v>4.4</v>
      </c>
      <c r="Y48">
        <v>4.6</v>
      </c>
      <c r="Z48">
        <v>4.8</v>
      </c>
      <c r="AA48">
        <v>5</v>
      </c>
    </row>
    <row r="49" spans="1:28" ht="12.75">
      <c r="A49" t="s">
        <v>57</v>
      </c>
      <c r="B49">
        <v>6.7</v>
      </c>
      <c r="C49">
        <v>6.6</v>
      </c>
      <c r="D49">
        <v>6.6</v>
      </c>
      <c r="E49">
        <v>6.4</v>
      </c>
      <c r="F49">
        <v>6.4</v>
      </c>
      <c r="G49">
        <v>6.3</v>
      </c>
      <c r="H49">
        <v>6.2</v>
      </c>
      <c r="I49">
        <v>6.2</v>
      </c>
      <c r="J49">
        <v>6.2</v>
      </c>
      <c r="K49">
        <v>6.2</v>
      </c>
      <c r="L49">
        <v>6.1</v>
      </c>
      <c r="M49">
        <v>6.1</v>
      </c>
      <c r="N49">
        <v>6</v>
      </c>
      <c r="O49">
        <v>5.9</v>
      </c>
      <c r="P49">
        <v>5.8</v>
      </c>
      <c r="Q49">
        <v>5.8</v>
      </c>
      <c r="R49">
        <v>5.7</v>
      </c>
      <c r="S49">
        <v>5.5</v>
      </c>
      <c r="T49">
        <v>5.5</v>
      </c>
      <c r="U49">
        <v>5.2</v>
      </c>
      <c r="V49">
        <v>4.9</v>
      </c>
      <c r="W49">
        <v>4.2</v>
      </c>
      <c r="X49">
        <v>3.4</v>
      </c>
      <c r="Y49">
        <v>3.1</v>
      </c>
      <c r="Z49">
        <v>2.9</v>
      </c>
      <c r="AA49">
        <v>2.7</v>
      </c>
      <c r="AB49">
        <v>4.2</v>
      </c>
    </row>
    <row r="50" spans="1:28" ht="12.75">
      <c r="A50" t="s">
        <v>58</v>
      </c>
      <c r="B50">
        <v>7</v>
      </c>
      <c r="C50">
        <v>6.87</v>
      </c>
      <c r="D50">
        <v>6.8</v>
      </c>
      <c r="E50">
        <v>6.74</v>
      </c>
      <c r="F50">
        <v>6.68</v>
      </c>
      <c r="G50">
        <v>6.61</v>
      </c>
      <c r="H50">
        <v>6.55</v>
      </c>
      <c r="I50">
        <v>6.5</v>
      </c>
      <c r="J50">
        <v>6.41</v>
      </c>
      <c r="K50">
        <v>6.36</v>
      </c>
      <c r="L50">
        <v>6.3</v>
      </c>
      <c r="M50">
        <v>6.26</v>
      </c>
      <c r="N50">
        <v>6.2</v>
      </c>
      <c r="O50">
        <v>6.12</v>
      </c>
      <c r="P50">
        <v>6.06</v>
      </c>
      <c r="Q50">
        <v>5.97</v>
      </c>
      <c r="R50">
        <v>5.91</v>
      </c>
      <c r="S50">
        <v>5.79</v>
      </c>
      <c r="T50">
        <v>5.68</v>
      </c>
      <c r="U50">
        <v>5.48</v>
      </c>
      <c r="V50">
        <v>5.15</v>
      </c>
      <c r="W50">
        <v>4.56</v>
      </c>
      <c r="X50">
        <v>4.03</v>
      </c>
      <c r="Y50">
        <v>3.76</v>
      </c>
      <c r="Z50">
        <v>3.58</v>
      </c>
      <c r="AA50">
        <v>3.46</v>
      </c>
      <c r="AB50">
        <v>4.2</v>
      </c>
    </row>
    <row r="52" spans="1:27" ht="12.75">
      <c r="A52" t="s">
        <v>55</v>
      </c>
      <c r="B52">
        <v>0</v>
      </c>
      <c r="C52">
        <v>0.2</v>
      </c>
      <c r="D52">
        <v>0.4</v>
      </c>
      <c r="E52">
        <v>0.6</v>
      </c>
      <c r="F52">
        <v>0.8</v>
      </c>
      <c r="G52">
        <v>1</v>
      </c>
      <c r="H52">
        <v>1.2</v>
      </c>
      <c r="I52">
        <v>1.4</v>
      </c>
      <c r="J52">
        <v>1.6</v>
      </c>
      <c r="K52">
        <v>1.8</v>
      </c>
      <c r="L52">
        <v>2</v>
      </c>
      <c r="M52">
        <v>2.2</v>
      </c>
      <c r="N52">
        <v>2.4</v>
      </c>
      <c r="O52">
        <v>2.6</v>
      </c>
      <c r="P52">
        <v>2.8</v>
      </c>
      <c r="Q52">
        <v>3</v>
      </c>
      <c r="R52">
        <v>3.2</v>
      </c>
      <c r="S52">
        <v>3.4</v>
      </c>
      <c r="T52">
        <v>3.6</v>
      </c>
      <c r="U52">
        <v>3.8</v>
      </c>
      <c r="V52">
        <v>4</v>
      </c>
      <c r="W52">
        <v>4.2</v>
      </c>
      <c r="X52">
        <v>4.4</v>
      </c>
      <c r="Y52">
        <v>4.6</v>
      </c>
      <c r="Z52">
        <v>4.8</v>
      </c>
      <c r="AA52">
        <v>5</v>
      </c>
    </row>
    <row r="53" spans="1:28" ht="12.75">
      <c r="A53" t="s">
        <v>57</v>
      </c>
      <c r="B53">
        <v>6.8</v>
      </c>
      <c r="C53">
        <v>6.8</v>
      </c>
      <c r="D53">
        <v>6.7</v>
      </c>
      <c r="E53">
        <v>6.6</v>
      </c>
      <c r="F53">
        <v>6.5</v>
      </c>
      <c r="G53">
        <v>6.5</v>
      </c>
      <c r="H53">
        <v>6.4</v>
      </c>
      <c r="I53">
        <v>6.3</v>
      </c>
      <c r="J53">
        <v>6.3</v>
      </c>
      <c r="K53">
        <v>6.2</v>
      </c>
      <c r="L53">
        <v>6.2</v>
      </c>
      <c r="M53">
        <v>6.1</v>
      </c>
      <c r="N53">
        <v>6</v>
      </c>
      <c r="O53">
        <v>5.9</v>
      </c>
      <c r="P53">
        <v>5.8</v>
      </c>
      <c r="Q53">
        <v>5.7</v>
      </c>
      <c r="R53">
        <v>5.6</v>
      </c>
      <c r="S53">
        <v>5.5</v>
      </c>
      <c r="T53">
        <v>5.4</v>
      </c>
      <c r="U53">
        <v>5.1</v>
      </c>
      <c r="V53">
        <v>4.8</v>
      </c>
      <c r="W53">
        <v>4.1</v>
      </c>
      <c r="X53">
        <v>3.4</v>
      </c>
      <c r="Y53">
        <v>3.1</v>
      </c>
      <c r="Z53">
        <v>2.8</v>
      </c>
      <c r="AA53">
        <v>2.7</v>
      </c>
      <c r="AB53">
        <v>4.2</v>
      </c>
    </row>
    <row r="54" spans="1:28" ht="12.75">
      <c r="A54" t="s">
        <v>58</v>
      </c>
      <c r="B54">
        <v>7.01</v>
      </c>
      <c r="C54">
        <v>6.89</v>
      </c>
      <c r="D54">
        <v>6.8</v>
      </c>
      <c r="E54">
        <v>6.79</v>
      </c>
      <c r="F54">
        <v>6.67</v>
      </c>
      <c r="G54">
        <v>6.6</v>
      </c>
      <c r="H54">
        <v>6.52</v>
      </c>
      <c r="I54">
        <v>6.46</v>
      </c>
      <c r="J54">
        <v>6.4</v>
      </c>
      <c r="K54">
        <v>6.34</v>
      </c>
      <c r="L54">
        <v>6.26</v>
      </c>
      <c r="M54">
        <v>6.21</v>
      </c>
      <c r="N54">
        <v>6.09</v>
      </c>
      <c r="O54">
        <v>6.04</v>
      </c>
      <c r="P54">
        <v>5.98</v>
      </c>
      <c r="Q54">
        <v>5.88</v>
      </c>
      <c r="R54">
        <v>5.72</v>
      </c>
      <c r="S54">
        <v>5.66</v>
      </c>
      <c r="T54">
        <v>5.53</v>
      </c>
      <c r="U54">
        <v>5.35</v>
      </c>
      <c r="V54">
        <v>5.08</v>
      </c>
      <c r="W54">
        <v>4.54</v>
      </c>
      <c r="X54">
        <v>4.05</v>
      </c>
      <c r="Y54">
        <v>3.75</v>
      </c>
      <c r="Z54">
        <v>3.58</v>
      </c>
      <c r="AA54">
        <v>3.47</v>
      </c>
      <c r="AB54">
        <v>4.2</v>
      </c>
    </row>
    <row r="56" spans="1:27" ht="12.75">
      <c r="A56" t="s">
        <v>55</v>
      </c>
      <c r="B56">
        <v>0</v>
      </c>
      <c r="C56">
        <v>0.2</v>
      </c>
      <c r="D56">
        <v>0.4</v>
      </c>
      <c r="E56">
        <v>0.6</v>
      </c>
      <c r="F56">
        <v>0.8</v>
      </c>
      <c r="G56">
        <v>1</v>
      </c>
      <c r="H56">
        <v>1.2</v>
      </c>
      <c r="I56">
        <v>1.4</v>
      </c>
      <c r="J56">
        <v>1.6</v>
      </c>
      <c r="K56">
        <v>1.8</v>
      </c>
      <c r="L56">
        <v>2</v>
      </c>
      <c r="M56">
        <v>2.2</v>
      </c>
      <c r="N56">
        <v>2.4</v>
      </c>
      <c r="O56">
        <v>2.6</v>
      </c>
      <c r="P56">
        <v>2.8</v>
      </c>
      <c r="Q56">
        <v>3</v>
      </c>
      <c r="R56">
        <v>3.2</v>
      </c>
      <c r="S56">
        <v>3.4</v>
      </c>
      <c r="T56">
        <v>3.6</v>
      </c>
      <c r="U56">
        <v>3.8</v>
      </c>
      <c r="V56">
        <v>4</v>
      </c>
      <c r="W56">
        <v>4.2</v>
      </c>
      <c r="X56">
        <v>4.4</v>
      </c>
      <c r="Y56">
        <v>4.6</v>
      </c>
      <c r="Z56">
        <v>4.8</v>
      </c>
      <c r="AA56">
        <v>5</v>
      </c>
    </row>
    <row r="57" spans="1:28" ht="12.75">
      <c r="A57" t="s">
        <v>57</v>
      </c>
      <c r="B57">
        <v>6.9</v>
      </c>
      <c r="C57">
        <v>6.8</v>
      </c>
      <c r="D57">
        <v>6.7</v>
      </c>
      <c r="E57">
        <v>6.7</v>
      </c>
      <c r="F57">
        <v>6.6</v>
      </c>
      <c r="G57">
        <v>6.5</v>
      </c>
      <c r="H57">
        <v>6.4</v>
      </c>
      <c r="I57">
        <v>6.4</v>
      </c>
      <c r="J57">
        <v>6.3</v>
      </c>
      <c r="K57">
        <v>6.3</v>
      </c>
      <c r="L57">
        <v>6.2</v>
      </c>
      <c r="M57">
        <v>6.1</v>
      </c>
      <c r="N57">
        <v>6</v>
      </c>
      <c r="O57">
        <v>6</v>
      </c>
      <c r="P57">
        <v>5.9</v>
      </c>
      <c r="Q57">
        <v>5.8</v>
      </c>
      <c r="R57">
        <v>5.7</v>
      </c>
      <c r="S57">
        <v>5.6</v>
      </c>
      <c r="T57">
        <v>5.5</v>
      </c>
      <c r="U57">
        <v>5.3</v>
      </c>
      <c r="V57">
        <v>5</v>
      </c>
      <c r="W57">
        <v>4.4</v>
      </c>
      <c r="X57">
        <v>3.6</v>
      </c>
      <c r="Y57">
        <v>3.2</v>
      </c>
      <c r="Z57">
        <v>3</v>
      </c>
      <c r="AA57">
        <v>2.8</v>
      </c>
      <c r="AB57">
        <v>4.25</v>
      </c>
    </row>
    <row r="58" spans="1:28" ht="12.75">
      <c r="A58" t="s">
        <v>58</v>
      </c>
      <c r="B58">
        <v>6.97</v>
      </c>
      <c r="C58">
        <v>6.87</v>
      </c>
      <c r="D58">
        <v>6.81</v>
      </c>
      <c r="E58">
        <v>6.76</v>
      </c>
      <c r="F58">
        <v>6.68</v>
      </c>
      <c r="G58">
        <v>6.62</v>
      </c>
      <c r="H58">
        <v>6.55</v>
      </c>
      <c r="I58">
        <v>6.49</v>
      </c>
      <c r="J58">
        <v>6.42</v>
      </c>
      <c r="K58">
        <v>6.34</v>
      </c>
      <c r="L58">
        <v>6.32</v>
      </c>
      <c r="M58">
        <v>6.2</v>
      </c>
      <c r="N58">
        <v>6.02</v>
      </c>
      <c r="O58">
        <v>6</v>
      </c>
      <c r="P58">
        <v>5.98</v>
      </c>
      <c r="Q58">
        <v>5.86</v>
      </c>
      <c r="R58">
        <v>5.78</v>
      </c>
      <c r="S58">
        <v>5.69</v>
      </c>
      <c r="T58">
        <v>5.55</v>
      </c>
      <c r="U58">
        <v>5.43</v>
      </c>
      <c r="V58">
        <v>5.16</v>
      </c>
      <c r="W58">
        <v>4.76</v>
      </c>
      <c r="X58">
        <v>4.11</v>
      </c>
      <c r="Y58">
        <v>3.84</v>
      </c>
      <c r="Z58">
        <v>3.66</v>
      </c>
      <c r="AA58">
        <v>3.53</v>
      </c>
      <c r="AB58">
        <v>4.25</v>
      </c>
    </row>
    <row r="61" spans="1:43" ht="12.75">
      <c r="A61" s="10" t="s">
        <v>11</v>
      </c>
      <c r="B61" s="10">
        <v>11</v>
      </c>
      <c r="W61" t="s">
        <v>56</v>
      </c>
      <c r="AP61" t="s">
        <v>4</v>
      </c>
      <c r="AQ61">
        <v>0.05</v>
      </c>
    </row>
    <row r="62" spans="1:43" ht="12.75">
      <c r="A62" t="s">
        <v>55</v>
      </c>
      <c r="B62">
        <v>0</v>
      </c>
      <c r="C62">
        <v>0.2</v>
      </c>
      <c r="D62">
        <v>0.4</v>
      </c>
      <c r="E62">
        <v>0.6</v>
      </c>
      <c r="F62">
        <v>0.8</v>
      </c>
      <c r="G62">
        <v>1</v>
      </c>
      <c r="H62">
        <v>1.2</v>
      </c>
      <c r="I62">
        <v>1.4</v>
      </c>
      <c r="J62">
        <v>1.6</v>
      </c>
      <c r="K62">
        <v>1.8</v>
      </c>
      <c r="L62">
        <v>2</v>
      </c>
      <c r="M62">
        <v>2.2</v>
      </c>
      <c r="N62">
        <v>2.4</v>
      </c>
      <c r="O62">
        <v>2.5</v>
      </c>
      <c r="P62">
        <v>2.6</v>
      </c>
      <c r="Q62">
        <v>2.7</v>
      </c>
      <c r="R62">
        <v>2.8</v>
      </c>
      <c r="S62">
        <v>2.9</v>
      </c>
      <c r="T62">
        <v>3</v>
      </c>
      <c r="U62">
        <v>3.1</v>
      </c>
      <c r="V62">
        <v>3.2</v>
      </c>
      <c r="AP62" t="s">
        <v>59</v>
      </c>
      <c r="AQ62">
        <v>100</v>
      </c>
    </row>
    <row r="63" spans="1:50" ht="12.75">
      <c r="A63" t="s">
        <v>57</v>
      </c>
      <c r="B63">
        <v>7</v>
      </c>
      <c r="C63">
        <v>6.6</v>
      </c>
      <c r="D63">
        <v>6.5</v>
      </c>
      <c r="E63">
        <v>6.5</v>
      </c>
      <c r="F63">
        <v>6.5</v>
      </c>
      <c r="G63">
        <v>6.4</v>
      </c>
      <c r="H63">
        <v>6.3</v>
      </c>
      <c r="I63">
        <v>6.2</v>
      </c>
      <c r="J63">
        <v>6.1</v>
      </c>
      <c r="K63">
        <v>5.9</v>
      </c>
      <c r="L63">
        <v>5.7</v>
      </c>
      <c r="M63">
        <v>5.2</v>
      </c>
      <c r="N63">
        <v>4.6</v>
      </c>
      <c r="O63">
        <v>4.2</v>
      </c>
      <c r="P63">
        <v>3.9</v>
      </c>
      <c r="Q63">
        <v>3.5</v>
      </c>
      <c r="R63">
        <v>3.4</v>
      </c>
      <c r="S63">
        <v>3.2</v>
      </c>
      <c r="T63">
        <v>3.1</v>
      </c>
      <c r="U63">
        <v>2.9</v>
      </c>
      <c r="V63">
        <v>2.8</v>
      </c>
      <c r="W63">
        <v>2.5</v>
      </c>
      <c r="AP63" t="s">
        <v>60</v>
      </c>
      <c r="AQ63">
        <v>0.01</v>
      </c>
      <c r="AR63">
        <v>0.02</v>
      </c>
      <c r="AS63">
        <v>0.05</v>
      </c>
      <c r="AT63">
        <v>0.1</v>
      </c>
      <c r="AU63">
        <v>0.2</v>
      </c>
      <c r="AV63">
        <v>0.5</v>
      </c>
      <c r="AW63">
        <v>1</v>
      </c>
      <c r="AX63">
        <v>2</v>
      </c>
    </row>
    <row r="64" spans="1:50" ht="12.75">
      <c r="A64" t="s">
        <v>58</v>
      </c>
      <c r="B64">
        <v>7.56</v>
      </c>
      <c r="C64">
        <v>7.15</v>
      </c>
      <c r="D64">
        <v>6.65</v>
      </c>
      <c r="E64">
        <v>6.72</v>
      </c>
      <c r="F64">
        <v>6.49</v>
      </c>
      <c r="G64">
        <v>6.34</v>
      </c>
      <c r="H64">
        <v>6.35</v>
      </c>
      <c r="I64">
        <v>6.06</v>
      </c>
      <c r="J64">
        <v>5.96</v>
      </c>
      <c r="K64">
        <v>5.7</v>
      </c>
      <c r="L64">
        <v>5.53</v>
      </c>
      <c r="M64">
        <v>5.22</v>
      </c>
      <c r="N64">
        <v>4.7</v>
      </c>
      <c r="O64">
        <v>4.47</v>
      </c>
      <c r="P64">
        <v>4.11</v>
      </c>
      <c r="Q64">
        <v>3.88</v>
      </c>
      <c r="R64">
        <v>3.8</v>
      </c>
      <c r="S64">
        <v>3.66</v>
      </c>
      <c r="T64">
        <v>3.57</v>
      </c>
      <c r="U64">
        <v>3.43</v>
      </c>
      <c r="V64">
        <v>3.34</v>
      </c>
      <c r="W64">
        <v>2.5</v>
      </c>
      <c r="AP64" t="s">
        <v>61</v>
      </c>
      <c r="AQ64">
        <f>AQ63*$AQ$61/$AQ$62</f>
        <v>5E-06</v>
      </c>
      <c r="AR64">
        <f aca="true" t="shared" si="0" ref="AR64:AX64">AR63*$AQ$61/$AQ$62</f>
        <v>1E-05</v>
      </c>
      <c r="AS64">
        <f t="shared" si="0"/>
        <v>2.5000000000000005E-05</v>
      </c>
      <c r="AT64">
        <f t="shared" si="0"/>
        <v>5.000000000000001E-05</v>
      </c>
      <c r="AU64">
        <f t="shared" si="0"/>
        <v>0.00010000000000000002</v>
      </c>
      <c r="AV64">
        <f t="shared" si="0"/>
        <v>0.00025</v>
      </c>
      <c r="AW64">
        <f t="shared" si="0"/>
        <v>0.0005</v>
      </c>
      <c r="AX64">
        <f t="shared" si="0"/>
        <v>0.001</v>
      </c>
    </row>
    <row r="65" spans="42:50" ht="12.75">
      <c r="AP65" t="s">
        <v>62</v>
      </c>
      <c r="AQ65">
        <f>-LOG(AQ64)</f>
        <v>5.301029995663981</v>
      </c>
      <c r="AR65">
        <f aca="true" t="shared" si="1" ref="AR65:AX65">-LOG(AR64)</f>
        <v>5</v>
      </c>
      <c r="AS65">
        <f t="shared" si="1"/>
        <v>4.6020599913279625</v>
      </c>
      <c r="AT65">
        <f t="shared" si="1"/>
        <v>4.301029995663981</v>
      </c>
      <c r="AU65">
        <f t="shared" si="1"/>
        <v>4</v>
      </c>
      <c r="AV65">
        <f t="shared" si="1"/>
        <v>3.6020599913279625</v>
      </c>
      <c r="AW65">
        <f t="shared" si="1"/>
        <v>3.3010299956639813</v>
      </c>
      <c r="AX65">
        <f t="shared" si="1"/>
        <v>3</v>
      </c>
    </row>
    <row r="66" spans="1:16" ht="12.75">
      <c r="A66" t="s">
        <v>55</v>
      </c>
      <c r="B66">
        <v>0</v>
      </c>
      <c r="C66">
        <v>0.4</v>
      </c>
      <c r="D66">
        <v>1</v>
      </c>
      <c r="E66">
        <v>1.4</v>
      </c>
      <c r="F66">
        <v>2</v>
      </c>
      <c r="G66">
        <v>2.2</v>
      </c>
      <c r="H66">
        <v>2.4</v>
      </c>
      <c r="I66">
        <v>2.5</v>
      </c>
      <c r="J66">
        <v>2.6</v>
      </c>
      <c r="K66">
        <v>2.7</v>
      </c>
      <c r="L66">
        <v>2.8</v>
      </c>
      <c r="M66">
        <v>3</v>
      </c>
      <c r="N66">
        <v>3.2</v>
      </c>
      <c r="O66">
        <v>3.4</v>
      </c>
      <c r="P66">
        <v>3.6</v>
      </c>
    </row>
    <row r="67" spans="1:23" ht="12.75">
      <c r="A67" t="s">
        <v>57</v>
      </c>
      <c r="B67">
        <v>6.8</v>
      </c>
      <c r="C67">
        <v>6.7</v>
      </c>
      <c r="D67">
        <v>6.5</v>
      </c>
      <c r="E67">
        <v>6.3</v>
      </c>
      <c r="F67">
        <v>5.7</v>
      </c>
      <c r="G67">
        <v>5.4</v>
      </c>
      <c r="H67">
        <v>4.9</v>
      </c>
      <c r="I67">
        <v>4.4</v>
      </c>
      <c r="J67">
        <v>4.2</v>
      </c>
      <c r="K67">
        <v>3.7</v>
      </c>
      <c r="L67">
        <v>3.6</v>
      </c>
      <c r="M67">
        <v>3.2</v>
      </c>
      <c r="N67">
        <v>3</v>
      </c>
      <c r="O67">
        <v>2.8</v>
      </c>
      <c r="P67">
        <v>2.7</v>
      </c>
      <c r="W67">
        <v>2.5</v>
      </c>
    </row>
    <row r="68" spans="1:23" ht="12.75">
      <c r="A68" t="s">
        <v>58</v>
      </c>
      <c r="B68">
        <v>7.35</v>
      </c>
      <c r="C68">
        <v>6.88</v>
      </c>
      <c r="D68">
        <v>6.34</v>
      </c>
      <c r="E68">
        <v>6.04</v>
      </c>
      <c r="F68">
        <v>5.62</v>
      </c>
      <c r="G68">
        <v>5.28</v>
      </c>
      <c r="H68">
        <v>4.92</v>
      </c>
      <c r="I68">
        <v>4.54</v>
      </c>
      <c r="J68">
        <v>4.38</v>
      </c>
      <c r="K68">
        <v>4.02</v>
      </c>
      <c r="L68">
        <v>3.88</v>
      </c>
      <c r="M68">
        <v>3.67</v>
      </c>
      <c r="N68">
        <v>3.54</v>
      </c>
      <c r="O68">
        <v>3.4</v>
      </c>
      <c r="P68">
        <v>3.29</v>
      </c>
      <c r="W68">
        <v>2.5</v>
      </c>
    </row>
    <row r="70" spans="1:18" ht="12.75">
      <c r="A70" t="s">
        <v>55</v>
      </c>
      <c r="B70">
        <v>0</v>
      </c>
      <c r="C70">
        <v>0.5</v>
      </c>
      <c r="D70">
        <v>1</v>
      </c>
      <c r="E70">
        <v>1.5</v>
      </c>
      <c r="F70">
        <v>2</v>
      </c>
      <c r="G70">
        <v>2.2</v>
      </c>
      <c r="H70">
        <v>2.3</v>
      </c>
      <c r="I70">
        <v>2.4</v>
      </c>
      <c r="J70">
        <v>2.5</v>
      </c>
      <c r="K70">
        <v>2.6</v>
      </c>
      <c r="L70">
        <v>2.7</v>
      </c>
      <c r="M70">
        <v>2.8</v>
      </c>
      <c r="N70">
        <v>2.9</v>
      </c>
      <c r="O70">
        <v>3</v>
      </c>
      <c r="P70">
        <v>3.1</v>
      </c>
      <c r="Q70">
        <v>3.2</v>
      </c>
      <c r="R70">
        <v>3.3</v>
      </c>
    </row>
    <row r="71" spans="1:23" ht="12.75">
      <c r="A71" t="s">
        <v>57</v>
      </c>
      <c r="B71">
        <v>6.8</v>
      </c>
      <c r="C71">
        <v>6.7</v>
      </c>
      <c r="D71">
        <v>6.5</v>
      </c>
      <c r="E71">
        <v>6.2</v>
      </c>
      <c r="F71">
        <v>5.8</v>
      </c>
      <c r="G71">
        <v>5.4</v>
      </c>
      <c r="H71">
        <v>5.1</v>
      </c>
      <c r="I71">
        <v>4.7</v>
      </c>
      <c r="J71">
        <v>4.4</v>
      </c>
      <c r="K71">
        <v>4</v>
      </c>
      <c r="L71">
        <v>3.7</v>
      </c>
      <c r="M71">
        <v>3.5</v>
      </c>
      <c r="N71">
        <v>3.3</v>
      </c>
      <c r="O71">
        <v>3.2</v>
      </c>
      <c r="P71">
        <v>3</v>
      </c>
      <c r="Q71">
        <v>2.8</v>
      </c>
      <c r="R71">
        <v>2.7</v>
      </c>
      <c r="W71">
        <v>2.5</v>
      </c>
    </row>
    <row r="72" spans="1:23" ht="12.75">
      <c r="A72" t="s">
        <v>58</v>
      </c>
      <c r="B72">
        <v>7.43</v>
      </c>
      <c r="C72">
        <v>6.67</v>
      </c>
      <c r="D72">
        <v>6.42</v>
      </c>
      <c r="E72">
        <v>5.95</v>
      </c>
      <c r="F72">
        <v>5.53</v>
      </c>
      <c r="G72">
        <v>5.28</v>
      </c>
      <c r="H72">
        <v>5.12</v>
      </c>
      <c r="I72">
        <v>4.96</v>
      </c>
      <c r="J72">
        <v>4.61</v>
      </c>
      <c r="K72">
        <v>4.34</v>
      </c>
      <c r="L72">
        <v>4.05</v>
      </c>
      <c r="M72">
        <v>3.89</v>
      </c>
      <c r="N72">
        <v>3.76</v>
      </c>
      <c r="O72">
        <v>3.66</v>
      </c>
      <c r="P72">
        <v>3.52</v>
      </c>
      <c r="Q72">
        <v>3.39</v>
      </c>
      <c r="R72">
        <v>3.29</v>
      </c>
      <c r="W72">
        <v>2.5</v>
      </c>
    </row>
    <row r="75" spans="1:23" ht="12.75">
      <c r="A75" s="10" t="s">
        <v>11</v>
      </c>
      <c r="B75" s="10">
        <v>5</v>
      </c>
      <c r="W75" t="s">
        <v>56</v>
      </c>
    </row>
    <row r="76" spans="1:22" ht="12.75">
      <c r="A76" t="s">
        <v>55</v>
      </c>
      <c r="B76">
        <v>0</v>
      </c>
      <c r="C76">
        <v>0.2</v>
      </c>
      <c r="D76">
        <v>0.4</v>
      </c>
      <c r="E76">
        <v>0.6</v>
      </c>
      <c r="F76">
        <v>0.8</v>
      </c>
      <c r="G76">
        <v>1</v>
      </c>
      <c r="H76">
        <v>1.2</v>
      </c>
      <c r="I76">
        <v>1.4</v>
      </c>
      <c r="J76">
        <v>1.6</v>
      </c>
      <c r="K76">
        <v>1.8</v>
      </c>
      <c r="L76">
        <v>2</v>
      </c>
      <c r="M76">
        <v>2.2</v>
      </c>
      <c r="N76">
        <v>2.3</v>
      </c>
      <c r="O76">
        <v>2.4</v>
      </c>
      <c r="P76">
        <v>2.5</v>
      </c>
      <c r="Q76">
        <v>2.6</v>
      </c>
      <c r="R76">
        <v>2.7</v>
      </c>
      <c r="S76">
        <v>2.8</v>
      </c>
      <c r="T76">
        <v>2.9</v>
      </c>
      <c r="U76">
        <v>3</v>
      </c>
      <c r="V76">
        <v>3.2</v>
      </c>
    </row>
    <row r="77" spans="1:23" ht="12.75">
      <c r="A77" t="s">
        <v>57</v>
      </c>
      <c r="B77">
        <v>6.7</v>
      </c>
      <c r="C77">
        <v>6.6</v>
      </c>
      <c r="D77">
        <v>6.5</v>
      </c>
      <c r="E77">
        <v>6.4</v>
      </c>
      <c r="F77">
        <v>6.3</v>
      </c>
      <c r="G77">
        <v>6.2</v>
      </c>
      <c r="H77">
        <v>6</v>
      </c>
      <c r="I77">
        <v>5.8</v>
      </c>
      <c r="J77">
        <v>5.6</v>
      </c>
      <c r="K77">
        <v>5.3</v>
      </c>
      <c r="L77">
        <v>4.9</v>
      </c>
      <c r="M77">
        <v>4.4</v>
      </c>
      <c r="N77">
        <v>4.1</v>
      </c>
      <c r="O77">
        <v>3.8</v>
      </c>
      <c r="P77">
        <v>3.5</v>
      </c>
      <c r="Q77">
        <v>3.4</v>
      </c>
      <c r="R77">
        <v>3.2</v>
      </c>
      <c r="S77">
        <v>3.1</v>
      </c>
      <c r="T77">
        <v>3</v>
      </c>
      <c r="U77">
        <v>2.9</v>
      </c>
      <c r="V77">
        <v>2.7</v>
      </c>
      <c r="W77">
        <v>2.3</v>
      </c>
    </row>
    <row r="78" spans="1:23" ht="12.75">
      <c r="A78" t="s">
        <v>58</v>
      </c>
      <c r="B78">
        <v>6.89</v>
      </c>
      <c r="C78">
        <v>6.73</v>
      </c>
      <c r="D78">
        <v>6.58</v>
      </c>
      <c r="E78">
        <v>6.44</v>
      </c>
      <c r="F78">
        <v>6.3</v>
      </c>
      <c r="G78">
        <v>6.18</v>
      </c>
      <c r="H78">
        <v>6</v>
      </c>
      <c r="I78">
        <v>5.83</v>
      </c>
      <c r="J78">
        <v>5.68</v>
      </c>
      <c r="K78">
        <v>5.45</v>
      </c>
      <c r="L78">
        <v>5.17</v>
      </c>
      <c r="M78">
        <v>4.66</v>
      </c>
      <c r="N78">
        <v>4.48</v>
      </c>
      <c r="O78">
        <v>4.24</v>
      </c>
      <c r="P78">
        <v>4.03</v>
      </c>
      <c r="Q78">
        <v>3.92</v>
      </c>
      <c r="R78">
        <v>3.8</v>
      </c>
      <c r="S78">
        <v>3.73</v>
      </c>
      <c r="T78">
        <v>3.62</v>
      </c>
      <c r="U78">
        <v>3.55</v>
      </c>
      <c r="V78">
        <v>3.42</v>
      </c>
      <c r="W78">
        <v>2.3</v>
      </c>
    </row>
    <row r="80" spans="1:18" ht="12.75">
      <c r="A80" t="s">
        <v>55</v>
      </c>
      <c r="B80">
        <v>0</v>
      </c>
      <c r="C80">
        <v>0.6</v>
      </c>
      <c r="D80">
        <v>1</v>
      </c>
      <c r="E80">
        <v>1.5</v>
      </c>
      <c r="F80">
        <v>1.8</v>
      </c>
      <c r="G80">
        <v>2</v>
      </c>
      <c r="H80">
        <v>2.1</v>
      </c>
      <c r="I80">
        <v>2.2</v>
      </c>
      <c r="J80">
        <v>2.3</v>
      </c>
      <c r="K80">
        <v>2.4</v>
      </c>
      <c r="L80">
        <v>2.5</v>
      </c>
      <c r="M80">
        <v>2.6</v>
      </c>
      <c r="N80">
        <v>2.7</v>
      </c>
      <c r="O80">
        <v>2.8</v>
      </c>
      <c r="P80">
        <v>3</v>
      </c>
      <c r="Q80">
        <v>3.2</v>
      </c>
      <c r="R80">
        <v>3.4</v>
      </c>
    </row>
    <row r="81" spans="1:23" ht="12.75">
      <c r="A81" t="s">
        <v>57</v>
      </c>
      <c r="B81">
        <v>6.6</v>
      </c>
      <c r="C81">
        <v>6.4</v>
      </c>
      <c r="D81">
        <v>6.2</v>
      </c>
      <c r="E81">
        <v>5.7</v>
      </c>
      <c r="F81">
        <v>5.4</v>
      </c>
      <c r="G81">
        <v>5.1</v>
      </c>
      <c r="H81">
        <v>4.7</v>
      </c>
      <c r="I81">
        <v>4.4</v>
      </c>
      <c r="J81">
        <v>4</v>
      </c>
      <c r="K81">
        <v>3.8</v>
      </c>
      <c r="L81">
        <v>3.5</v>
      </c>
      <c r="M81">
        <v>3.4</v>
      </c>
      <c r="N81">
        <v>3.3</v>
      </c>
      <c r="O81">
        <v>3</v>
      </c>
      <c r="P81">
        <v>2.9</v>
      </c>
      <c r="Q81">
        <v>2.7</v>
      </c>
      <c r="R81">
        <v>2.6</v>
      </c>
      <c r="W81">
        <v>2.3</v>
      </c>
    </row>
    <row r="82" spans="1:23" ht="12.75">
      <c r="A82" t="s">
        <v>58</v>
      </c>
      <c r="B82">
        <v>6.7</v>
      </c>
      <c r="C82">
        <v>6.32</v>
      </c>
      <c r="D82">
        <v>6.06</v>
      </c>
      <c r="E82">
        <v>5.6</v>
      </c>
      <c r="F82">
        <v>5.39</v>
      </c>
      <c r="G82">
        <v>5.08</v>
      </c>
      <c r="H82">
        <v>4.85</v>
      </c>
      <c r="I82">
        <v>4.6</v>
      </c>
      <c r="J82">
        <v>4.33</v>
      </c>
      <c r="K82">
        <v>4.2</v>
      </c>
      <c r="L82">
        <v>4.04</v>
      </c>
      <c r="M82">
        <v>3.91</v>
      </c>
      <c r="N82">
        <v>3.76</v>
      </c>
      <c r="O82">
        <v>3.7</v>
      </c>
      <c r="P82">
        <v>3.58</v>
      </c>
      <c r="Q82">
        <v>3.46</v>
      </c>
      <c r="R82">
        <v>3.36</v>
      </c>
      <c r="W82">
        <v>2.3</v>
      </c>
    </row>
    <row r="84" spans="1:17" ht="12.75">
      <c r="A84" t="s">
        <v>55</v>
      </c>
      <c r="B84">
        <v>0</v>
      </c>
      <c r="C84">
        <v>0.5</v>
      </c>
      <c r="D84">
        <v>1</v>
      </c>
      <c r="E84">
        <v>1.5</v>
      </c>
      <c r="F84">
        <v>1.9</v>
      </c>
      <c r="G84">
        <v>2</v>
      </c>
      <c r="H84">
        <v>2.1</v>
      </c>
      <c r="I84">
        <v>2.2</v>
      </c>
      <c r="J84">
        <v>2.3</v>
      </c>
      <c r="K84">
        <v>2.4</v>
      </c>
      <c r="L84">
        <v>2.5</v>
      </c>
      <c r="M84">
        <v>2.6</v>
      </c>
      <c r="N84">
        <v>2.8</v>
      </c>
      <c r="O84">
        <v>3</v>
      </c>
      <c r="P84">
        <v>3.2</v>
      </c>
      <c r="Q84">
        <v>3.4</v>
      </c>
    </row>
    <row r="85" spans="1:23" ht="12.75">
      <c r="A85" t="s">
        <v>57</v>
      </c>
      <c r="B85">
        <v>6.6</v>
      </c>
      <c r="C85">
        <v>6.4</v>
      </c>
      <c r="D85">
        <v>6.1</v>
      </c>
      <c r="E85">
        <v>5.8</v>
      </c>
      <c r="F85">
        <v>5.2</v>
      </c>
      <c r="G85">
        <v>4.9</v>
      </c>
      <c r="H85">
        <v>4.6</v>
      </c>
      <c r="I85">
        <v>4.2</v>
      </c>
      <c r="J85">
        <v>3.9</v>
      </c>
      <c r="K85">
        <v>3.7</v>
      </c>
      <c r="L85">
        <v>3.5</v>
      </c>
      <c r="M85">
        <v>3.3</v>
      </c>
      <c r="N85">
        <v>3</v>
      </c>
      <c r="O85">
        <v>2.9</v>
      </c>
      <c r="P85">
        <v>2.7</v>
      </c>
      <c r="Q85">
        <v>2.6</v>
      </c>
      <c r="W85">
        <v>2.3</v>
      </c>
    </row>
    <row r="86" spans="1:23" ht="12.75">
      <c r="A86" t="s">
        <v>58</v>
      </c>
      <c r="B86">
        <v>6.57</v>
      </c>
      <c r="C86">
        <v>6.3</v>
      </c>
      <c r="D86">
        <v>6.04</v>
      </c>
      <c r="E86">
        <v>5.65</v>
      </c>
      <c r="F86">
        <v>5.21</v>
      </c>
      <c r="G86">
        <v>5.01</v>
      </c>
      <c r="H86">
        <v>4.75</v>
      </c>
      <c r="I86">
        <v>4.53</v>
      </c>
      <c r="J86">
        <v>4.3</v>
      </c>
      <c r="K86">
        <v>4.16</v>
      </c>
      <c r="L86">
        <v>3.97</v>
      </c>
      <c r="M86">
        <v>3.83</v>
      </c>
      <c r="N86">
        <v>3.7</v>
      </c>
      <c r="O86">
        <v>3.53</v>
      </c>
      <c r="P86">
        <v>3.41</v>
      </c>
      <c r="Q86">
        <v>3.33</v>
      </c>
      <c r="W86">
        <v>2.3</v>
      </c>
    </row>
    <row r="89" spans="1:19" ht="12.75">
      <c r="A89" s="10" t="s">
        <v>11</v>
      </c>
      <c r="B89" s="10">
        <v>10</v>
      </c>
      <c r="S89" t="s">
        <v>56</v>
      </c>
    </row>
    <row r="90" spans="1:17" ht="12.75">
      <c r="A90" t="s">
        <v>55</v>
      </c>
      <c r="B90">
        <v>0</v>
      </c>
      <c r="C90">
        <v>0.2</v>
      </c>
      <c r="D90">
        <v>0.4</v>
      </c>
      <c r="E90">
        <v>0.6</v>
      </c>
      <c r="F90">
        <v>0.8</v>
      </c>
      <c r="G90">
        <v>1</v>
      </c>
      <c r="H90">
        <v>1.2</v>
      </c>
      <c r="I90">
        <v>1.4</v>
      </c>
      <c r="J90">
        <v>1.6</v>
      </c>
      <c r="K90">
        <v>1.8</v>
      </c>
      <c r="L90">
        <v>2</v>
      </c>
      <c r="M90">
        <v>2.2</v>
      </c>
      <c r="N90">
        <v>2.4</v>
      </c>
      <c r="O90">
        <v>2.6</v>
      </c>
      <c r="P90">
        <v>2.8</v>
      </c>
      <c r="Q90">
        <v>3</v>
      </c>
    </row>
    <row r="91" spans="1:19" ht="12.75">
      <c r="A91" t="s">
        <v>57</v>
      </c>
      <c r="B91">
        <v>6.8</v>
      </c>
      <c r="C91">
        <v>6.7</v>
      </c>
      <c r="D91">
        <v>6.6</v>
      </c>
      <c r="E91">
        <v>6.5</v>
      </c>
      <c r="F91">
        <v>6.4</v>
      </c>
      <c r="G91">
        <v>6.3</v>
      </c>
      <c r="H91">
        <v>6.1</v>
      </c>
      <c r="I91">
        <v>6</v>
      </c>
      <c r="J91">
        <v>5.8</v>
      </c>
      <c r="K91">
        <v>5.4</v>
      </c>
      <c r="L91">
        <v>4.9</v>
      </c>
      <c r="M91">
        <v>4.2</v>
      </c>
      <c r="N91">
        <v>3.6</v>
      </c>
      <c r="O91">
        <v>3.3</v>
      </c>
      <c r="P91">
        <v>3</v>
      </c>
      <c r="Q91">
        <v>2.9</v>
      </c>
      <c r="S91">
        <v>2.1</v>
      </c>
    </row>
    <row r="92" spans="1:19" ht="12.75">
      <c r="A92" t="s">
        <v>58</v>
      </c>
      <c r="B92">
        <v>7.06</v>
      </c>
      <c r="C92">
        <v>6.82</v>
      </c>
      <c r="D92">
        <v>6.71</v>
      </c>
      <c r="E92">
        <v>6.56</v>
      </c>
      <c r="F92">
        <v>6.34</v>
      </c>
      <c r="G92">
        <v>6.2</v>
      </c>
      <c r="H92">
        <v>6.02</v>
      </c>
      <c r="I92">
        <v>5.85</v>
      </c>
      <c r="J92">
        <v>5.7</v>
      </c>
      <c r="K92">
        <v>5.34</v>
      </c>
      <c r="L92">
        <v>4.97</v>
      </c>
      <c r="M92">
        <v>4.4</v>
      </c>
      <c r="N92">
        <v>4.01</v>
      </c>
      <c r="O92">
        <v>3.74</v>
      </c>
      <c r="P92">
        <v>3.56</v>
      </c>
      <c r="Q92">
        <v>3.43</v>
      </c>
      <c r="S92">
        <v>2.2</v>
      </c>
    </row>
    <row r="94" spans="1:18" ht="12.75">
      <c r="A94" t="s">
        <v>55</v>
      </c>
      <c r="B94">
        <v>0</v>
      </c>
      <c r="C94">
        <v>0.5</v>
      </c>
      <c r="D94">
        <v>1</v>
      </c>
      <c r="E94">
        <v>1.5</v>
      </c>
      <c r="F94">
        <v>1.6</v>
      </c>
      <c r="G94">
        <v>1.7</v>
      </c>
      <c r="H94">
        <v>1.8</v>
      </c>
      <c r="I94">
        <v>1.9</v>
      </c>
      <c r="J94">
        <v>2</v>
      </c>
      <c r="K94">
        <v>2.1</v>
      </c>
      <c r="L94">
        <v>2.2</v>
      </c>
      <c r="M94">
        <v>2.3</v>
      </c>
      <c r="N94">
        <v>2.4</v>
      </c>
      <c r="O94">
        <v>2.5</v>
      </c>
      <c r="P94">
        <v>2.6</v>
      </c>
      <c r="Q94">
        <v>2.8</v>
      </c>
      <c r="R94">
        <v>3</v>
      </c>
    </row>
    <row r="95" spans="1:19" ht="12.75">
      <c r="A95" t="s">
        <v>57</v>
      </c>
      <c r="B95">
        <v>6.8</v>
      </c>
      <c r="C95">
        <v>6.6</v>
      </c>
      <c r="D95">
        <v>6.3</v>
      </c>
      <c r="E95">
        <v>5.8</v>
      </c>
      <c r="F95">
        <v>5.8</v>
      </c>
      <c r="G95">
        <v>5.6</v>
      </c>
      <c r="H95">
        <v>5.5</v>
      </c>
      <c r="I95">
        <v>5.3</v>
      </c>
      <c r="J95">
        <v>5.2</v>
      </c>
      <c r="K95">
        <v>4.8</v>
      </c>
      <c r="L95">
        <v>4.4</v>
      </c>
      <c r="M95">
        <v>4.1</v>
      </c>
      <c r="N95">
        <v>3.9</v>
      </c>
      <c r="O95">
        <v>3.5</v>
      </c>
      <c r="P95">
        <v>3.3</v>
      </c>
      <c r="Q95">
        <v>3.1</v>
      </c>
      <c r="R95">
        <v>2.9</v>
      </c>
      <c r="S95">
        <v>2.2</v>
      </c>
    </row>
    <row r="96" spans="1:19" ht="12.75">
      <c r="A96" t="s">
        <v>58</v>
      </c>
      <c r="B96">
        <v>7.06</v>
      </c>
      <c r="C96">
        <v>6.76</v>
      </c>
      <c r="D96">
        <v>6.26</v>
      </c>
      <c r="E96">
        <v>5.83</v>
      </c>
      <c r="F96">
        <v>5.7</v>
      </c>
      <c r="G96">
        <v>5.6</v>
      </c>
      <c r="H96">
        <v>5.5</v>
      </c>
      <c r="I96">
        <v>5.3</v>
      </c>
      <c r="J96">
        <v>5.18</v>
      </c>
      <c r="K96">
        <v>4.88</v>
      </c>
      <c r="L96">
        <v>4.6</v>
      </c>
      <c r="M96">
        <v>4.42</v>
      </c>
      <c r="N96">
        <v>4.17</v>
      </c>
      <c r="O96">
        <v>3.95</v>
      </c>
      <c r="P96">
        <v>3.84</v>
      </c>
      <c r="Q96">
        <v>3.64</v>
      </c>
      <c r="R96">
        <v>3.5</v>
      </c>
      <c r="S96">
        <v>2.3</v>
      </c>
    </row>
    <row r="98" spans="1:16" ht="12.75">
      <c r="A98" t="s">
        <v>55</v>
      </c>
      <c r="B98">
        <v>0</v>
      </c>
      <c r="C98">
        <v>0.5</v>
      </c>
      <c r="D98">
        <v>1</v>
      </c>
      <c r="E98">
        <v>1.5</v>
      </c>
      <c r="F98">
        <v>1.8</v>
      </c>
      <c r="G98">
        <v>1.9</v>
      </c>
      <c r="H98">
        <v>2</v>
      </c>
      <c r="I98">
        <v>2.1</v>
      </c>
      <c r="J98">
        <v>2.2</v>
      </c>
      <c r="K98">
        <v>2.3</v>
      </c>
      <c r="L98">
        <v>2.4</v>
      </c>
      <c r="M98">
        <v>2.5</v>
      </c>
      <c r="N98">
        <v>2.6</v>
      </c>
      <c r="O98">
        <v>2.8</v>
      </c>
      <c r="P98">
        <v>3</v>
      </c>
    </row>
    <row r="99" spans="1:19" ht="12.75">
      <c r="A99" t="s">
        <v>57</v>
      </c>
      <c r="B99">
        <v>6.8</v>
      </c>
      <c r="C99">
        <v>6.7</v>
      </c>
      <c r="D99">
        <v>6.4</v>
      </c>
      <c r="E99">
        <v>5.9</v>
      </c>
      <c r="F99">
        <v>5.5</v>
      </c>
      <c r="G99">
        <v>5.4</v>
      </c>
      <c r="H99">
        <v>5.2</v>
      </c>
      <c r="I99">
        <v>4.9</v>
      </c>
      <c r="J99">
        <v>4.6</v>
      </c>
      <c r="K99">
        <v>4.2</v>
      </c>
      <c r="L99">
        <v>3.9</v>
      </c>
      <c r="M99">
        <v>3.7</v>
      </c>
      <c r="N99">
        <v>3.4</v>
      </c>
      <c r="O99">
        <v>3.2</v>
      </c>
      <c r="P99">
        <v>2.9</v>
      </c>
      <c r="S99">
        <v>2.2</v>
      </c>
    </row>
    <row r="100" spans="1:19" ht="12.75">
      <c r="A100" t="s">
        <v>58</v>
      </c>
      <c r="B100">
        <v>7.06</v>
      </c>
      <c r="C100">
        <v>6.71</v>
      </c>
      <c r="D100">
        <v>6.18</v>
      </c>
      <c r="E100">
        <v>5.74</v>
      </c>
      <c r="F100">
        <v>5.45</v>
      </c>
      <c r="G100">
        <v>5.36</v>
      </c>
      <c r="H100">
        <v>5.22</v>
      </c>
      <c r="I100">
        <v>4.96</v>
      </c>
      <c r="J100">
        <v>4.8</v>
      </c>
      <c r="K100">
        <v>4.48</v>
      </c>
      <c r="L100">
        <v>4.2</v>
      </c>
      <c r="M100">
        <v>4.04</v>
      </c>
      <c r="N100">
        <v>3.94</v>
      </c>
      <c r="O100">
        <v>3.7</v>
      </c>
      <c r="P100">
        <v>3.59</v>
      </c>
      <c r="S100">
        <v>2.3</v>
      </c>
    </row>
    <row r="103" spans="1:25" ht="12.75">
      <c r="A103" s="10" t="s">
        <v>11</v>
      </c>
      <c r="B103" s="10" t="s">
        <v>8</v>
      </c>
      <c r="Y103" t="s">
        <v>56</v>
      </c>
    </row>
    <row r="104" spans="1:24" ht="12.75">
      <c r="A104" t="s">
        <v>55</v>
      </c>
      <c r="B104">
        <v>0</v>
      </c>
      <c r="C104">
        <v>0.3</v>
      </c>
      <c r="D104">
        <v>0.6</v>
      </c>
      <c r="E104">
        <v>0.8</v>
      </c>
      <c r="F104">
        <v>1</v>
      </c>
      <c r="G104">
        <v>1.2</v>
      </c>
      <c r="H104">
        <v>1.4</v>
      </c>
      <c r="I104">
        <v>1.6</v>
      </c>
      <c r="J104">
        <v>1.8</v>
      </c>
      <c r="K104">
        <v>2</v>
      </c>
      <c r="L104">
        <v>2.2</v>
      </c>
      <c r="M104">
        <v>2.4</v>
      </c>
      <c r="N104">
        <v>3</v>
      </c>
      <c r="O104">
        <v>3.2</v>
      </c>
      <c r="P104">
        <v>3.4</v>
      </c>
      <c r="Q104">
        <v>3.6</v>
      </c>
      <c r="R104">
        <v>3.7</v>
      </c>
      <c r="S104">
        <v>3.8</v>
      </c>
      <c r="T104">
        <v>3.9</v>
      </c>
      <c r="U104">
        <v>4</v>
      </c>
      <c r="V104">
        <v>4.1</v>
      </c>
      <c r="W104">
        <v>4.2</v>
      </c>
      <c r="X104">
        <v>4.4</v>
      </c>
    </row>
    <row r="105" spans="1:25" ht="12.75">
      <c r="A105" t="s">
        <v>57</v>
      </c>
      <c r="B105">
        <v>6.8</v>
      </c>
      <c r="C105">
        <v>6.7</v>
      </c>
      <c r="D105">
        <v>6.7</v>
      </c>
      <c r="E105">
        <v>6.5</v>
      </c>
      <c r="F105">
        <v>6.4</v>
      </c>
      <c r="G105">
        <v>6.4</v>
      </c>
      <c r="H105">
        <v>6.2</v>
      </c>
      <c r="I105">
        <v>6.1</v>
      </c>
      <c r="J105">
        <v>6.1</v>
      </c>
      <c r="K105">
        <v>6.1</v>
      </c>
      <c r="L105">
        <v>5.9</v>
      </c>
      <c r="M105">
        <v>5.7</v>
      </c>
      <c r="N105">
        <v>5.5</v>
      </c>
      <c r="O105">
        <v>5.2</v>
      </c>
      <c r="P105">
        <v>5</v>
      </c>
      <c r="Q105">
        <v>4.8</v>
      </c>
      <c r="R105">
        <v>4.5</v>
      </c>
      <c r="S105">
        <v>4.3</v>
      </c>
      <c r="T105">
        <v>4</v>
      </c>
      <c r="U105">
        <v>3.7</v>
      </c>
      <c r="V105">
        <v>3.5</v>
      </c>
      <c r="W105">
        <v>3.3</v>
      </c>
      <c r="X105">
        <v>3.1</v>
      </c>
      <c r="Y105">
        <v>3.7</v>
      </c>
    </row>
    <row r="106" spans="1:25" ht="12.75">
      <c r="A106" t="s">
        <v>58</v>
      </c>
      <c r="B106">
        <v>7.12</v>
      </c>
      <c r="C106">
        <v>6.99</v>
      </c>
      <c r="D106">
        <v>6.79</v>
      </c>
      <c r="E106">
        <v>6.72</v>
      </c>
      <c r="F106">
        <v>6.63</v>
      </c>
      <c r="G106">
        <v>6.56</v>
      </c>
      <c r="H106">
        <v>6.49</v>
      </c>
      <c r="I106">
        <v>6.42</v>
      </c>
      <c r="J106">
        <v>6.32</v>
      </c>
      <c r="K106">
        <v>6.28</v>
      </c>
      <c r="L106">
        <v>6.15</v>
      </c>
      <c r="M106">
        <v>5.98</v>
      </c>
      <c r="N106">
        <v>5.71</v>
      </c>
      <c r="O106">
        <v>5.53</v>
      </c>
      <c r="P106">
        <v>5.38</v>
      </c>
      <c r="Q106">
        <v>4.97</v>
      </c>
      <c r="R106">
        <v>4.77</v>
      </c>
      <c r="S106">
        <v>4.6</v>
      </c>
      <c r="T106">
        <v>4.34</v>
      </c>
      <c r="U106">
        <v>4.16</v>
      </c>
      <c r="V106">
        <v>4</v>
      </c>
      <c r="W106">
        <v>3.84</v>
      </c>
      <c r="X106">
        <v>3.69</v>
      </c>
      <c r="Y106">
        <v>3.7</v>
      </c>
    </row>
    <row r="108" spans="1:18" ht="12.75">
      <c r="A108" t="s">
        <v>55</v>
      </c>
      <c r="B108">
        <v>0</v>
      </c>
      <c r="C108">
        <v>1</v>
      </c>
      <c r="D108">
        <v>2</v>
      </c>
      <c r="E108">
        <v>2.5</v>
      </c>
      <c r="F108">
        <v>3</v>
      </c>
      <c r="G108">
        <v>3.2</v>
      </c>
      <c r="H108">
        <v>3.4</v>
      </c>
      <c r="I108">
        <v>3.5</v>
      </c>
      <c r="J108">
        <v>3.6</v>
      </c>
      <c r="K108">
        <v>3.7</v>
      </c>
      <c r="L108">
        <v>3.8</v>
      </c>
      <c r="M108">
        <v>3.9</v>
      </c>
      <c r="N108">
        <v>4</v>
      </c>
      <c r="O108">
        <v>4.2</v>
      </c>
      <c r="P108">
        <v>4.4</v>
      </c>
      <c r="Q108">
        <v>4.6</v>
      </c>
      <c r="R108">
        <v>4.8</v>
      </c>
    </row>
    <row r="109" spans="1:25" ht="12.75">
      <c r="A109" t="s">
        <v>57</v>
      </c>
      <c r="B109">
        <v>6.8</v>
      </c>
      <c r="C109">
        <v>6.4</v>
      </c>
      <c r="D109">
        <v>6</v>
      </c>
      <c r="E109">
        <v>5.8</v>
      </c>
      <c r="F109">
        <v>5.4</v>
      </c>
      <c r="G109">
        <v>5.3</v>
      </c>
      <c r="H109">
        <v>4.9</v>
      </c>
      <c r="I109">
        <v>4.7</v>
      </c>
      <c r="J109">
        <v>4.5</v>
      </c>
      <c r="K109">
        <v>4.1</v>
      </c>
      <c r="L109">
        <v>3.8</v>
      </c>
      <c r="M109">
        <v>3.6</v>
      </c>
      <c r="N109">
        <v>3.4</v>
      </c>
      <c r="O109">
        <v>3.2</v>
      </c>
      <c r="P109">
        <v>3</v>
      </c>
      <c r="Q109">
        <v>2.8</v>
      </c>
      <c r="R109">
        <v>2.7</v>
      </c>
      <c r="Y109">
        <v>3.6</v>
      </c>
    </row>
    <row r="110" spans="1:25" ht="12.75">
      <c r="A110" t="s">
        <v>58</v>
      </c>
      <c r="B110">
        <v>7.08</v>
      </c>
      <c r="C110">
        <v>6.58</v>
      </c>
      <c r="D110">
        <v>6.1</v>
      </c>
      <c r="E110">
        <v>5.84</v>
      </c>
      <c r="F110">
        <v>5.53</v>
      </c>
      <c r="G110">
        <v>5.35</v>
      </c>
      <c r="H110">
        <v>5.08</v>
      </c>
      <c r="I110">
        <v>4.9</v>
      </c>
      <c r="J110">
        <v>4.74</v>
      </c>
      <c r="K110">
        <v>4.5</v>
      </c>
      <c r="L110">
        <v>4.34</v>
      </c>
      <c r="M110">
        <v>4.07</v>
      </c>
      <c r="N110">
        <v>3.98</v>
      </c>
      <c r="O110">
        <v>3.82</v>
      </c>
      <c r="P110">
        <v>3.65</v>
      </c>
      <c r="Q110">
        <v>3.5</v>
      </c>
      <c r="R110">
        <v>3.4</v>
      </c>
      <c r="Y110">
        <v>3.6</v>
      </c>
    </row>
    <row r="112" spans="1:17" ht="12.75">
      <c r="A112" t="s">
        <v>55</v>
      </c>
      <c r="B112">
        <v>0</v>
      </c>
      <c r="C112">
        <v>1</v>
      </c>
      <c r="D112">
        <v>2</v>
      </c>
      <c r="E112">
        <v>2.5</v>
      </c>
      <c r="F112">
        <v>3</v>
      </c>
      <c r="G112">
        <v>3.2</v>
      </c>
      <c r="H112">
        <v>3.3</v>
      </c>
      <c r="I112">
        <v>3.4</v>
      </c>
      <c r="J112">
        <v>3.5</v>
      </c>
      <c r="K112">
        <v>3.6</v>
      </c>
      <c r="L112">
        <v>3.7</v>
      </c>
      <c r="M112">
        <v>3.8</v>
      </c>
      <c r="N112">
        <v>4</v>
      </c>
      <c r="O112">
        <v>4.2</v>
      </c>
      <c r="P112">
        <v>4.4</v>
      </c>
      <c r="Q112">
        <v>4.6</v>
      </c>
    </row>
    <row r="113" spans="1:25" ht="12.75">
      <c r="A113" t="s">
        <v>57</v>
      </c>
      <c r="B113">
        <v>6.8</v>
      </c>
      <c r="C113">
        <v>6.3</v>
      </c>
      <c r="D113">
        <v>6.1</v>
      </c>
      <c r="E113">
        <v>5.8</v>
      </c>
      <c r="F113">
        <v>5.4</v>
      </c>
      <c r="G113">
        <v>5.1</v>
      </c>
      <c r="H113">
        <v>4.9</v>
      </c>
      <c r="I113">
        <v>4.8</v>
      </c>
      <c r="J113">
        <v>4.6</v>
      </c>
      <c r="K113">
        <v>4.4</v>
      </c>
      <c r="L113">
        <v>4.1</v>
      </c>
      <c r="M113">
        <v>3.9</v>
      </c>
      <c r="N113">
        <v>3.4</v>
      </c>
      <c r="O113">
        <v>3.2</v>
      </c>
      <c r="P113">
        <v>3</v>
      </c>
      <c r="Q113">
        <v>2.8</v>
      </c>
      <c r="Y113">
        <v>3.6</v>
      </c>
    </row>
    <row r="114" spans="1:25" ht="12.75">
      <c r="A114" t="s">
        <v>58</v>
      </c>
      <c r="B114">
        <v>7.1</v>
      </c>
      <c r="C114">
        <v>6.5</v>
      </c>
      <c r="D114">
        <v>6.06</v>
      </c>
      <c r="E114">
        <v>5.8</v>
      </c>
      <c r="F114">
        <v>5.52</v>
      </c>
      <c r="G114">
        <v>5.3</v>
      </c>
      <c r="H114">
        <v>5.12</v>
      </c>
      <c r="I114">
        <v>4.99</v>
      </c>
      <c r="J114">
        <v>4.86</v>
      </c>
      <c r="K114">
        <v>4.69</v>
      </c>
      <c r="L114">
        <v>4.43</v>
      </c>
      <c r="M114">
        <v>4.25</v>
      </c>
      <c r="N114">
        <v>3.96</v>
      </c>
      <c r="O114">
        <v>3.77</v>
      </c>
      <c r="P114">
        <v>3.62</v>
      </c>
      <c r="Q114">
        <v>3.48</v>
      </c>
      <c r="Y114">
        <v>3.6</v>
      </c>
    </row>
    <row r="117" spans="1:28" ht="12.75">
      <c r="A117" s="10" t="s">
        <v>11</v>
      </c>
      <c r="B117" s="10">
        <v>7</v>
      </c>
      <c r="AB117" t="s">
        <v>56</v>
      </c>
    </row>
    <row r="118" spans="1:27" ht="12.75">
      <c r="A118" t="s">
        <v>55</v>
      </c>
      <c r="B118">
        <v>0</v>
      </c>
      <c r="C118">
        <v>0.2</v>
      </c>
      <c r="D118">
        <v>0.4</v>
      </c>
      <c r="E118">
        <v>0.6</v>
      </c>
      <c r="F118">
        <v>0.8</v>
      </c>
      <c r="G118">
        <v>1</v>
      </c>
      <c r="H118">
        <v>1.2</v>
      </c>
      <c r="I118">
        <v>1.4</v>
      </c>
      <c r="J118">
        <v>1.6</v>
      </c>
      <c r="K118">
        <v>1.8</v>
      </c>
      <c r="L118">
        <v>2</v>
      </c>
      <c r="M118">
        <v>2.2</v>
      </c>
      <c r="N118">
        <v>2.4</v>
      </c>
      <c r="O118">
        <v>2.6</v>
      </c>
      <c r="P118">
        <v>2.8</v>
      </c>
      <c r="Q118">
        <v>3</v>
      </c>
      <c r="R118">
        <v>3.2</v>
      </c>
      <c r="S118">
        <v>3.4</v>
      </c>
      <c r="T118">
        <v>3.6</v>
      </c>
      <c r="U118">
        <v>3.7</v>
      </c>
      <c r="V118">
        <v>3.8</v>
      </c>
      <c r="W118">
        <v>3.9</v>
      </c>
      <c r="X118">
        <v>4</v>
      </c>
      <c r="Y118">
        <v>4.2</v>
      </c>
      <c r="Z118">
        <v>4.4</v>
      </c>
      <c r="AA118">
        <v>4.6</v>
      </c>
    </row>
    <row r="119" spans="1:28" ht="12.75">
      <c r="A119" t="s">
        <v>57</v>
      </c>
      <c r="B119">
        <v>7</v>
      </c>
      <c r="C119">
        <v>6.8</v>
      </c>
      <c r="D119">
        <v>6.7</v>
      </c>
      <c r="E119">
        <v>6.6</v>
      </c>
      <c r="F119">
        <v>6.6</v>
      </c>
      <c r="G119">
        <v>6.5</v>
      </c>
      <c r="H119">
        <v>6.5</v>
      </c>
      <c r="I119">
        <v>6.4</v>
      </c>
      <c r="J119">
        <v>6.3</v>
      </c>
      <c r="K119">
        <v>6.2</v>
      </c>
      <c r="L119">
        <v>6.2</v>
      </c>
      <c r="M119">
        <v>6.1</v>
      </c>
      <c r="N119">
        <v>6</v>
      </c>
      <c r="O119">
        <v>5.9</v>
      </c>
      <c r="P119">
        <v>5.7</v>
      </c>
      <c r="Q119">
        <v>5.6</v>
      </c>
      <c r="R119">
        <v>5.4</v>
      </c>
      <c r="S119">
        <v>5.1</v>
      </c>
      <c r="T119">
        <v>4.3</v>
      </c>
      <c r="U119">
        <v>4.3</v>
      </c>
      <c r="V119">
        <v>4.1</v>
      </c>
      <c r="W119">
        <v>3.8</v>
      </c>
      <c r="X119">
        <v>3.5</v>
      </c>
      <c r="Y119">
        <v>3.2</v>
      </c>
      <c r="Z119">
        <v>2.9</v>
      </c>
      <c r="AA119">
        <v>2.8</v>
      </c>
      <c r="AB119">
        <v>3.7</v>
      </c>
    </row>
    <row r="120" spans="1:28" ht="12.75">
      <c r="A120" t="s">
        <v>58</v>
      </c>
      <c r="B120">
        <v>7.52</v>
      </c>
      <c r="C120">
        <v>7.28</v>
      </c>
      <c r="D120">
        <v>7.07</v>
      </c>
      <c r="E120">
        <v>7.01</v>
      </c>
      <c r="F120">
        <v>6.83</v>
      </c>
      <c r="G120">
        <v>6.64</v>
      </c>
      <c r="H120">
        <v>6.55</v>
      </c>
      <c r="I120">
        <v>6.52</v>
      </c>
      <c r="J120">
        <v>6.4</v>
      </c>
      <c r="K120">
        <v>6.33</v>
      </c>
      <c r="L120">
        <v>6.22</v>
      </c>
      <c r="M120">
        <v>6.13</v>
      </c>
      <c r="N120">
        <v>6</v>
      </c>
      <c r="O120">
        <v>5.94</v>
      </c>
      <c r="P120">
        <v>5.8</v>
      </c>
      <c r="Q120">
        <v>5.62</v>
      </c>
      <c r="R120">
        <v>5.46</v>
      </c>
      <c r="S120">
        <v>5.19</v>
      </c>
      <c r="T120">
        <v>4.73</v>
      </c>
      <c r="U120">
        <v>4.59</v>
      </c>
      <c r="V120">
        <v>4.443</v>
      </c>
      <c r="W120">
        <v>4.19</v>
      </c>
      <c r="X120">
        <v>4.02</v>
      </c>
      <c r="Y120">
        <v>3.76</v>
      </c>
      <c r="Z120">
        <v>3.6</v>
      </c>
      <c r="AA120">
        <v>3.49</v>
      </c>
      <c r="AB120">
        <v>3.6</v>
      </c>
    </row>
    <row r="122" spans="1:17" ht="12.75">
      <c r="A122" t="s">
        <v>55</v>
      </c>
      <c r="B122">
        <v>0</v>
      </c>
      <c r="C122">
        <v>1</v>
      </c>
      <c r="D122">
        <v>2</v>
      </c>
      <c r="E122">
        <v>2.6</v>
      </c>
      <c r="F122">
        <v>3</v>
      </c>
      <c r="G122">
        <v>3.2</v>
      </c>
      <c r="H122">
        <v>3.3</v>
      </c>
      <c r="I122">
        <v>3.4</v>
      </c>
      <c r="J122">
        <v>3.6</v>
      </c>
      <c r="K122">
        <v>3.7</v>
      </c>
      <c r="L122">
        <v>3.8</v>
      </c>
      <c r="M122">
        <v>3.9</v>
      </c>
      <c r="N122">
        <v>4</v>
      </c>
      <c r="O122">
        <v>4.2</v>
      </c>
      <c r="P122">
        <v>4.4</v>
      </c>
      <c r="Q122">
        <v>4.6</v>
      </c>
    </row>
    <row r="123" spans="1:28" ht="12.75">
      <c r="A123" t="s">
        <v>57</v>
      </c>
      <c r="B123">
        <v>7</v>
      </c>
      <c r="C123">
        <v>6.5</v>
      </c>
      <c r="D123">
        <v>6</v>
      </c>
      <c r="E123">
        <v>5.8</v>
      </c>
      <c r="F123">
        <v>5.5</v>
      </c>
      <c r="G123">
        <v>5.3</v>
      </c>
      <c r="H123">
        <v>5.1</v>
      </c>
      <c r="I123">
        <v>4.9</v>
      </c>
      <c r="J123">
        <v>4.4</v>
      </c>
      <c r="K123">
        <v>4</v>
      </c>
      <c r="L123">
        <v>3.8</v>
      </c>
      <c r="M123">
        <v>3.3</v>
      </c>
      <c r="N123">
        <v>3.3</v>
      </c>
      <c r="O123">
        <v>3.1</v>
      </c>
      <c r="P123">
        <v>2.9</v>
      </c>
      <c r="Q123">
        <v>2.7</v>
      </c>
      <c r="AB123">
        <v>3.6</v>
      </c>
    </row>
    <row r="124" spans="1:28" ht="12.75">
      <c r="A124" t="s">
        <v>58</v>
      </c>
      <c r="B124">
        <v>7.5</v>
      </c>
      <c r="C124">
        <v>6.57</v>
      </c>
      <c r="D124">
        <v>6.1</v>
      </c>
      <c r="E124">
        <v>5.81</v>
      </c>
      <c r="F124">
        <v>5.5</v>
      </c>
      <c r="G124">
        <v>5.3</v>
      </c>
      <c r="H124">
        <v>5.15</v>
      </c>
      <c r="I124">
        <v>4.98</v>
      </c>
      <c r="J124">
        <v>4.55</v>
      </c>
      <c r="K124">
        <v>4.28</v>
      </c>
      <c r="L124">
        <v>4.13</v>
      </c>
      <c r="M124">
        <v>3.95</v>
      </c>
      <c r="N124">
        <v>3.81</v>
      </c>
      <c r="O124">
        <v>3.65</v>
      </c>
      <c r="P124">
        <v>3.49</v>
      </c>
      <c r="Q124">
        <v>3.39</v>
      </c>
      <c r="AB124">
        <v>3.6</v>
      </c>
    </row>
    <row r="126" spans="1:19" ht="12.75">
      <c r="A126" t="s">
        <v>55</v>
      </c>
      <c r="B126">
        <v>0</v>
      </c>
      <c r="C126">
        <v>1</v>
      </c>
      <c r="D126">
        <v>2</v>
      </c>
      <c r="E126">
        <v>2.6</v>
      </c>
      <c r="F126">
        <v>2.8</v>
      </c>
      <c r="G126">
        <v>3</v>
      </c>
      <c r="H126">
        <v>3.1</v>
      </c>
      <c r="I126">
        <v>3.2</v>
      </c>
      <c r="J126">
        <v>3.3</v>
      </c>
      <c r="K126">
        <v>3.4</v>
      </c>
      <c r="L126">
        <v>3.5</v>
      </c>
      <c r="M126">
        <v>3.6</v>
      </c>
      <c r="N126">
        <v>3.7</v>
      </c>
      <c r="O126">
        <v>3.8</v>
      </c>
      <c r="P126">
        <v>4</v>
      </c>
      <c r="Q126">
        <v>4.2</v>
      </c>
      <c r="R126">
        <v>4.4</v>
      </c>
      <c r="S126">
        <v>4.6</v>
      </c>
    </row>
    <row r="127" spans="1:28" ht="12.75">
      <c r="A127" t="s">
        <v>57</v>
      </c>
      <c r="B127">
        <v>7.1</v>
      </c>
      <c r="C127">
        <v>6</v>
      </c>
      <c r="D127">
        <v>5.6</v>
      </c>
      <c r="E127">
        <v>5.6</v>
      </c>
      <c r="F127">
        <v>5.4</v>
      </c>
      <c r="G127">
        <v>5.1</v>
      </c>
      <c r="H127">
        <v>5.1</v>
      </c>
      <c r="I127">
        <v>5.1</v>
      </c>
      <c r="J127">
        <v>4.9</v>
      </c>
      <c r="K127">
        <v>4.7</v>
      </c>
      <c r="L127">
        <v>4.2</v>
      </c>
      <c r="M127">
        <v>4</v>
      </c>
      <c r="N127">
        <v>3.7</v>
      </c>
      <c r="O127">
        <v>3.5</v>
      </c>
      <c r="P127">
        <v>3.2</v>
      </c>
      <c r="Q127">
        <v>2.9</v>
      </c>
      <c r="R127">
        <v>2.8</v>
      </c>
      <c r="S127">
        <v>2.7</v>
      </c>
      <c r="AB127">
        <v>3.6</v>
      </c>
    </row>
    <row r="128" spans="1:28" ht="12.75">
      <c r="A128" t="s">
        <v>58</v>
      </c>
      <c r="B128">
        <v>7.44</v>
      </c>
      <c r="C128">
        <v>6.65</v>
      </c>
      <c r="D128">
        <v>6.03</v>
      </c>
      <c r="E128">
        <v>5.89</v>
      </c>
      <c r="F128">
        <v>5.56</v>
      </c>
      <c r="G128">
        <v>5.39</v>
      </c>
      <c r="H128">
        <v>5.28</v>
      </c>
      <c r="I128">
        <v>5.16</v>
      </c>
      <c r="J128">
        <v>4.99</v>
      </c>
      <c r="K128">
        <v>4.81</v>
      </c>
      <c r="L128">
        <v>4.51</v>
      </c>
      <c r="M128">
        <v>4.29</v>
      </c>
      <c r="N128">
        <v>4.06</v>
      </c>
      <c r="O128">
        <v>3.9</v>
      </c>
      <c r="P128">
        <v>3.72</v>
      </c>
      <c r="Q128">
        <v>3.55</v>
      </c>
      <c r="R128">
        <v>3.43</v>
      </c>
      <c r="S128">
        <v>3.32</v>
      </c>
      <c r="AB128">
        <v>3.5</v>
      </c>
    </row>
    <row r="131" spans="1:15" ht="12.75">
      <c r="A131" s="10" t="s">
        <v>11</v>
      </c>
      <c r="B131" s="10">
        <v>24</v>
      </c>
      <c r="O131" t="s">
        <v>56</v>
      </c>
    </row>
    <row r="132" spans="1:14" ht="12.75">
      <c r="A132" t="s">
        <v>55</v>
      </c>
      <c r="B132">
        <v>0</v>
      </c>
      <c r="C132">
        <v>0.2</v>
      </c>
      <c r="D132">
        <v>0.4</v>
      </c>
      <c r="E132">
        <v>0.6</v>
      </c>
      <c r="F132">
        <v>0.8</v>
      </c>
      <c r="G132">
        <v>1</v>
      </c>
      <c r="H132">
        <v>1.2</v>
      </c>
      <c r="I132">
        <v>1.4</v>
      </c>
      <c r="J132">
        <v>1.6</v>
      </c>
      <c r="K132">
        <v>1.8</v>
      </c>
      <c r="L132">
        <v>2</v>
      </c>
      <c r="M132">
        <v>2.2</v>
      </c>
      <c r="N132">
        <v>2.4</v>
      </c>
    </row>
    <row r="133" spans="1:15" ht="12.75">
      <c r="A133" t="s">
        <v>58</v>
      </c>
      <c r="B133">
        <v>7.2</v>
      </c>
      <c r="C133">
        <v>6.76</v>
      </c>
      <c r="D133">
        <v>6.64</v>
      </c>
      <c r="E133">
        <v>6.36</v>
      </c>
      <c r="F133">
        <v>6.18</v>
      </c>
      <c r="G133">
        <v>6.05</v>
      </c>
      <c r="H133">
        <v>5.69</v>
      </c>
      <c r="I133">
        <v>5.3</v>
      </c>
      <c r="J133">
        <v>4.74</v>
      </c>
      <c r="K133">
        <v>4.07</v>
      </c>
      <c r="L133">
        <v>3.79</v>
      </c>
      <c r="M133">
        <v>3.61</v>
      </c>
      <c r="N133">
        <v>3.43</v>
      </c>
      <c r="O133">
        <v>1.6</v>
      </c>
    </row>
    <row r="135" spans="1:11" ht="12.75">
      <c r="A135" t="s">
        <v>55</v>
      </c>
      <c r="B135">
        <v>0</v>
      </c>
      <c r="C135">
        <v>0.5</v>
      </c>
      <c r="D135">
        <v>1</v>
      </c>
      <c r="E135">
        <v>1.4</v>
      </c>
      <c r="F135">
        <v>1.5</v>
      </c>
      <c r="G135">
        <v>1.6</v>
      </c>
      <c r="H135">
        <v>1.7</v>
      </c>
      <c r="I135">
        <v>1.8</v>
      </c>
      <c r="J135">
        <v>1.9</v>
      </c>
      <c r="K135">
        <v>2</v>
      </c>
    </row>
    <row r="136" spans="1:15" ht="12.75">
      <c r="A136" t="s">
        <v>58</v>
      </c>
      <c r="B136">
        <v>7.06</v>
      </c>
      <c r="C136">
        <v>6.1</v>
      </c>
      <c r="D136">
        <v>5.69</v>
      </c>
      <c r="E136">
        <v>4.63</v>
      </c>
      <c r="F136">
        <v>4.18</v>
      </c>
      <c r="G136">
        <v>4.05</v>
      </c>
      <c r="H136">
        <v>3.8</v>
      </c>
      <c r="I136">
        <v>3.74</v>
      </c>
      <c r="J136">
        <v>3.6</v>
      </c>
      <c r="K136">
        <v>3.52</v>
      </c>
      <c r="O136">
        <v>1.5</v>
      </c>
    </row>
    <row r="138" spans="1:12" ht="12.75">
      <c r="A138" t="s">
        <v>55</v>
      </c>
      <c r="B138">
        <v>0</v>
      </c>
      <c r="C138">
        <v>0.5</v>
      </c>
      <c r="D138">
        <v>1</v>
      </c>
      <c r="E138">
        <v>1.2</v>
      </c>
      <c r="F138">
        <v>1.3</v>
      </c>
      <c r="G138">
        <v>1.4</v>
      </c>
      <c r="H138">
        <v>1.5</v>
      </c>
      <c r="I138">
        <v>1.6</v>
      </c>
      <c r="J138">
        <v>1.7</v>
      </c>
      <c r="K138">
        <v>1.8</v>
      </c>
      <c r="L138">
        <v>2</v>
      </c>
    </row>
    <row r="139" spans="1:15" ht="12.75">
      <c r="A139" t="s">
        <v>58</v>
      </c>
      <c r="B139">
        <v>6.97</v>
      </c>
      <c r="C139">
        <v>6.39</v>
      </c>
      <c r="D139">
        <v>5.67</v>
      </c>
      <c r="E139">
        <v>5.46</v>
      </c>
      <c r="F139">
        <v>5.2</v>
      </c>
      <c r="G139">
        <v>5.02</v>
      </c>
      <c r="H139">
        <v>4.45</v>
      </c>
      <c r="I139">
        <v>4.27</v>
      </c>
      <c r="J139">
        <v>4.03</v>
      </c>
      <c r="K139">
        <v>3.87</v>
      </c>
      <c r="L139">
        <v>3.64</v>
      </c>
      <c r="O139">
        <v>1.5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8"/>
  <sheetViews>
    <sheetView workbookViewId="0" topLeftCell="C1">
      <selection activeCell="F34" sqref="F34"/>
    </sheetView>
  </sheetViews>
  <sheetFormatPr defaultColWidth="9.00390625" defaultRowHeight="12.75"/>
  <cols>
    <col min="1" max="2" width="6.00390625" style="0" customWidth="1"/>
    <col min="5" max="5" width="5.625" style="0" customWidth="1"/>
    <col min="6" max="6" width="4.375" style="0" customWidth="1"/>
  </cols>
  <sheetData>
    <row r="2" spans="1:6" ht="12.75">
      <c r="A2">
        <v>6.2</v>
      </c>
      <c r="B2">
        <v>7.32</v>
      </c>
      <c r="E2">
        <v>7.56</v>
      </c>
      <c r="F2">
        <v>7</v>
      </c>
    </row>
    <row r="3" spans="1:6" ht="12.75">
      <c r="A3">
        <v>6.2</v>
      </c>
      <c r="B3">
        <v>6.92</v>
      </c>
      <c r="E3">
        <v>7.52</v>
      </c>
      <c r="F3">
        <v>7</v>
      </c>
    </row>
    <row r="4" spans="1:6" ht="12.75">
      <c r="A4">
        <v>5.9</v>
      </c>
      <c r="B4">
        <v>6.58</v>
      </c>
      <c r="E4">
        <v>7.5</v>
      </c>
      <c r="F4">
        <v>7</v>
      </c>
    </row>
    <row r="5" spans="1:6" ht="12.75">
      <c r="A5">
        <v>5.9</v>
      </c>
      <c r="B5">
        <v>6.38</v>
      </c>
      <c r="E5">
        <v>7.45</v>
      </c>
      <c r="F5">
        <v>7.2</v>
      </c>
    </row>
    <row r="6" spans="1:6" ht="12.75">
      <c r="A6">
        <v>5.7</v>
      </c>
      <c r="B6">
        <v>6.1</v>
      </c>
      <c r="E6">
        <v>7.44</v>
      </c>
      <c r="F6">
        <v>7.1</v>
      </c>
    </row>
    <row r="7" spans="1:14" ht="12.75">
      <c r="A7">
        <v>5.4</v>
      </c>
      <c r="B7">
        <v>5.81</v>
      </c>
      <c r="E7">
        <v>7.43</v>
      </c>
      <c r="F7">
        <v>7.2</v>
      </c>
      <c r="M7">
        <v>3</v>
      </c>
      <c r="N7">
        <v>3</v>
      </c>
    </row>
    <row r="8" spans="1:14" ht="12.75">
      <c r="A8">
        <v>4.9</v>
      </c>
      <c r="B8">
        <v>5.4</v>
      </c>
      <c r="E8">
        <v>7.43</v>
      </c>
      <c r="F8">
        <v>6.8</v>
      </c>
      <c r="M8">
        <v>7.5</v>
      </c>
      <c r="N8">
        <v>7.5</v>
      </c>
    </row>
    <row r="9" spans="1:6" ht="12.75">
      <c r="A9">
        <v>3.4</v>
      </c>
      <c r="B9">
        <v>4.27</v>
      </c>
      <c r="E9">
        <v>7.41</v>
      </c>
      <c r="F9">
        <v>7.2</v>
      </c>
    </row>
    <row r="10" spans="1:6" ht="12.75">
      <c r="A10">
        <v>2.7</v>
      </c>
      <c r="B10">
        <v>3.75</v>
      </c>
      <c r="E10">
        <v>7.35</v>
      </c>
      <c r="F10">
        <v>6.8</v>
      </c>
    </row>
    <row r="11" spans="1:6" ht="12.75">
      <c r="A11">
        <v>2.3</v>
      </c>
      <c r="B11">
        <v>3.46</v>
      </c>
      <c r="E11">
        <v>7.32</v>
      </c>
      <c r="F11">
        <v>6.2</v>
      </c>
    </row>
    <row r="12" spans="1:6" ht="12.75">
      <c r="A12">
        <v>2</v>
      </c>
      <c r="B12">
        <v>3.25</v>
      </c>
      <c r="E12">
        <v>7.28</v>
      </c>
      <c r="F12">
        <v>6.8</v>
      </c>
    </row>
    <row r="13" spans="1:6" ht="12.75">
      <c r="A13">
        <v>1.9</v>
      </c>
      <c r="B13">
        <v>3.13</v>
      </c>
      <c r="E13">
        <v>7.27</v>
      </c>
      <c r="F13">
        <v>7</v>
      </c>
    </row>
    <row r="14" spans="1:6" ht="12.75">
      <c r="A14">
        <v>6.7</v>
      </c>
      <c r="B14">
        <v>6.95</v>
      </c>
      <c r="E14">
        <v>7.25</v>
      </c>
      <c r="F14">
        <v>7</v>
      </c>
    </row>
    <row r="15" spans="1:6" ht="12.75">
      <c r="A15">
        <v>6.1</v>
      </c>
      <c r="B15">
        <v>6.6</v>
      </c>
      <c r="E15">
        <v>7.15</v>
      </c>
      <c r="F15">
        <v>6.6</v>
      </c>
    </row>
    <row r="16" spans="1:6" ht="12.75">
      <c r="A16">
        <v>6</v>
      </c>
      <c r="B16">
        <v>6.46</v>
      </c>
      <c r="E16">
        <v>7.12</v>
      </c>
      <c r="F16">
        <v>6.8</v>
      </c>
    </row>
    <row r="17" spans="1:6" ht="12.75">
      <c r="A17">
        <v>6</v>
      </c>
      <c r="B17">
        <v>6.22</v>
      </c>
      <c r="E17">
        <v>7.1</v>
      </c>
      <c r="F17">
        <v>6.8</v>
      </c>
    </row>
    <row r="18" spans="1:6" ht="12.75">
      <c r="A18">
        <v>5.7</v>
      </c>
      <c r="B18">
        <v>6.02</v>
      </c>
      <c r="E18">
        <v>7.09</v>
      </c>
      <c r="F18">
        <v>6.8</v>
      </c>
    </row>
    <row r="19" spans="1:6" ht="12.75">
      <c r="A19">
        <v>5.4</v>
      </c>
      <c r="B19">
        <v>5.83</v>
      </c>
      <c r="E19">
        <v>7.08</v>
      </c>
      <c r="F19">
        <v>6.8</v>
      </c>
    </row>
    <row r="20" spans="1:6" ht="12.75">
      <c r="A20">
        <v>5</v>
      </c>
      <c r="B20">
        <v>5.41</v>
      </c>
      <c r="E20">
        <v>7.07</v>
      </c>
      <c r="F20">
        <v>6.7</v>
      </c>
    </row>
    <row r="21" spans="1:6" ht="12.75">
      <c r="A21">
        <v>4</v>
      </c>
      <c r="B21">
        <v>4.57</v>
      </c>
      <c r="E21">
        <v>7.06</v>
      </c>
      <c r="F21">
        <v>6.8</v>
      </c>
    </row>
    <row r="22" spans="1:6" ht="12.75">
      <c r="A22">
        <v>2.9</v>
      </c>
      <c r="B22">
        <v>3.8</v>
      </c>
      <c r="E22">
        <v>7.06</v>
      </c>
      <c r="F22">
        <v>6.8</v>
      </c>
    </row>
    <row r="23" spans="1:6" ht="12.75">
      <c r="A23">
        <v>2.4</v>
      </c>
      <c r="B23">
        <v>3.48</v>
      </c>
      <c r="E23">
        <v>7.06</v>
      </c>
      <c r="F23">
        <v>6.8</v>
      </c>
    </row>
    <row r="24" spans="1:6" ht="12.75">
      <c r="A24">
        <v>2.2</v>
      </c>
      <c r="B24">
        <v>3.25</v>
      </c>
      <c r="E24">
        <v>7.05</v>
      </c>
      <c r="F24">
        <v>6.8</v>
      </c>
    </row>
    <row r="25" spans="1:6" ht="12.75">
      <c r="A25">
        <v>2</v>
      </c>
      <c r="B25">
        <v>3.12</v>
      </c>
      <c r="E25">
        <v>7.01</v>
      </c>
      <c r="F25">
        <v>6.6</v>
      </c>
    </row>
    <row r="26" spans="1:6" ht="12.75">
      <c r="A26">
        <v>1.8</v>
      </c>
      <c r="B26">
        <v>3.02</v>
      </c>
      <c r="E26">
        <v>7</v>
      </c>
      <c r="F26">
        <v>6.7</v>
      </c>
    </row>
    <row r="27" spans="1:6" ht="12.75">
      <c r="A27">
        <v>6.4</v>
      </c>
      <c r="B27">
        <v>6.77</v>
      </c>
      <c r="E27">
        <v>7</v>
      </c>
      <c r="F27">
        <v>6.7</v>
      </c>
    </row>
    <row r="28" spans="1:6" ht="12.75">
      <c r="A28">
        <v>6.3</v>
      </c>
      <c r="B28">
        <v>6.62</v>
      </c>
      <c r="E28">
        <v>6.99</v>
      </c>
      <c r="F28">
        <v>6.7</v>
      </c>
    </row>
    <row r="29" spans="1:6" ht="12.75">
      <c r="A29">
        <v>6.2</v>
      </c>
      <c r="B29">
        <v>6.43</v>
      </c>
      <c r="E29">
        <v>6.97</v>
      </c>
      <c r="F29">
        <v>6.9</v>
      </c>
    </row>
    <row r="30" spans="1:6" ht="12.75">
      <c r="A30">
        <v>6</v>
      </c>
      <c r="B30">
        <v>6.18</v>
      </c>
      <c r="E30">
        <v>6.95</v>
      </c>
      <c r="F30">
        <v>6.8</v>
      </c>
    </row>
    <row r="31" spans="1:6" ht="12.75">
      <c r="A31">
        <v>5.8</v>
      </c>
      <c r="B31">
        <v>6</v>
      </c>
      <c r="E31">
        <v>6.95</v>
      </c>
      <c r="F31">
        <v>6.7</v>
      </c>
    </row>
    <row r="32" spans="1:6" ht="12.75">
      <c r="A32">
        <v>5.5</v>
      </c>
      <c r="B32">
        <v>5.7</v>
      </c>
      <c r="E32">
        <v>6.92</v>
      </c>
      <c r="F32">
        <v>6.7</v>
      </c>
    </row>
    <row r="33" spans="1:6" ht="12.75">
      <c r="A33">
        <v>5.1</v>
      </c>
      <c r="B33">
        <v>5.39</v>
      </c>
      <c r="E33">
        <v>6.92</v>
      </c>
      <c r="F33">
        <v>6.2</v>
      </c>
    </row>
    <row r="34" spans="1:6" ht="12.75">
      <c r="A34">
        <v>4.2</v>
      </c>
      <c r="B34">
        <v>4.68</v>
      </c>
      <c r="E34">
        <v>6.9</v>
      </c>
      <c r="F34">
        <v>6.7</v>
      </c>
    </row>
    <row r="35" spans="1:6" ht="12.75">
      <c r="A35">
        <v>2.9</v>
      </c>
      <c r="B35">
        <v>3.8</v>
      </c>
      <c r="E35">
        <v>6.89</v>
      </c>
      <c r="F35">
        <v>6.7</v>
      </c>
    </row>
    <row r="36" spans="1:6" ht="12.75">
      <c r="A36">
        <v>2.5</v>
      </c>
      <c r="B36">
        <v>3.47</v>
      </c>
      <c r="E36">
        <v>6.88</v>
      </c>
      <c r="F36">
        <v>6.7</v>
      </c>
    </row>
    <row r="37" spans="1:6" ht="12.75">
      <c r="A37">
        <v>2.2</v>
      </c>
      <c r="B37">
        <v>3.26</v>
      </c>
      <c r="E37">
        <v>6.87</v>
      </c>
      <c r="F37">
        <v>6.8</v>
      </c>
    </row>
    <row r="38" spans="1:6" ht="12.75">
      <c r="A38">
        <v>2.1</v>
      </c>
      <c r="B38">
        <v>3.14</v>
      </c>
      <c r="E38">
        <v>6.87</v>
      </c>
      <c r="F38">
        <v>6.6</v>
      </c>
    </row>
    <row r="39" spans="1:6" ht="12.75">
      <c r="A39">
        <v>1.9</v>
      </c>
      <c r="B39">
        <v>3.04</v>
      </c>
      <c r="E39">
        <v>6.87</v>
      </c>
      <c r="F39">
        <v>6.6</v>
      </c>
    </row>
    <row r="40" spans="1:6" ht="12.75">
      <c r="A40">
        <v>6</v>
      </c>
      <c r="B40">
        <v>6.4</v>
      </c>
      <c r="E40">
        <v>6.86</v>
      </c>
      <c r="F40">
        <v>6.6</v>
      </c>
    </row>
    <row r="41" spans="1:6" ht="12.75">
      <c r="A41">
        <v>6</v>
      </c>
      <c r="B41">
        <v>6.45</v>
      </c>
      <c r="E41">
        <v>6.83</v>
      </c>
      <c r="F41">
        <v>6.6</v>
      </c>
    </row>
    <row r="42" spans="1:6" ht="12.75">
      <c r="A42">
        <v>6.1</v>
      </c>
      <c r="B42">
        <v>6.43</v>
      </c>
      <c r="E42">
        <v>6.82</v>
      </c>
      <c r="F42">
        <v>6.7</v>
      </c>
    </row>
    <row r="43" spans="1:6" ht="12.75">
      <c r="A43">
        <v>6.2</v>
      </c>
      <c r="B43">
        <v>6.41</v>
      </c>
      <c r="E43">
        <v>6.81</v>
      </c>
      <c r="F43">
        <v>6.7</v>
      </c>
    </row>
    <row r="44" spans="1:6" ht="12.75">
      <c r="A44">
        <v>6.1</v>
      </c>
      <c r="B44">
        <v>6.34</v>
      </c>
      <c r="E44">
        <v>6.8</v>
      </c>
      <c r="F44">
        <v>6.6</v>
      </c>
    </row>
    <row r="45" spans="1:6" ht="12.75">
      <c r="A45">
        <v>6</v>
      </c>
      <c r="B45">
        <v>6.33</v>
      </c>
      <c r="E45">
        <v>6.8</v>
      </c>
      <c r="F45">
        <v>6.6</v>
      </c>
    </row>
    <row r="46" spans="1:6" ht="12.75">
      <c r="A46">
        <v>6.1</v>
      </c>
      <c r="B46">
        <v>6.28</v>
      </c>
      <c r="E46">
        <v>6.79</v>
      </c>
      <c r="F46">
        <v>6.7</v>
      </c>
    </row>
    <row r="47" spans="1:6" ht="12.75">
      <c r="A47">
        <v>6.1</v>
      </c>
      <c r="B47">
        <v>6.25</v>
      </c>
      <c r="E47">
        <v>6.78</v>
      </c>
      <c r="F47">
        <v>6.5</v>
      </c>
    </row>
    <row r="48" spans="1:6" ht="12.75">
      <c r="A48">
        <v>6</v>
      </c>
      <c r="B48">
        <v>6.21</v>
      </c>
      <c r="E48">
        <v>6.77</v>
      </c>
      <c r="F48">
        <v>6.5</v>
      </c>
    </row>
    <row r="49" spans="1:6" ht="12.75">
      <c r="A49">
        <v>5.9</v>
      </c>
      <c r="B49">
        <v>6.15</v>
      </c>
      <c r="E49">
        <v>6.77</v>
      </c>
      <c r="F49">
        <v>6.4</v>
      </c>
    </row>
    <row r="50" spans="1:6" ht="12.75">
      <c r="A50">
        <v>5.9</v>
      </c>
      <c r="B50">
        <v>6.08</v>
      </c>
      <c r="E50">
        <v>6.76</v>
      </c>
      <c r="F50">
        <v>6.7</v>
      </c>
    </row>
    <row r="51" spans="1:6" ht="12.75">
      <c r="A51">
        <v>5.8</v>
      </c>
      <c r="B51">
        <v>5.97</v>
      </c>
      <c r="E51">
        <v>6.76</v>
      </c>
      <c r="F51">
        <v>6.6</v>
      </c>
    </row>
    <row r="52" spans="1:6" ht="12.75">
      <c r="A52">
        <v>5.7</v>
      </c>
      <c r="B52">
        <v>5.9</v>
      </c>
      <c r="E52">
        <v>6.74</v>
      </c>
      <c r="F52">
        <v>6.4</v>
      </c>
    </row>
    <row r="53" spans="1:6" ht="12.75">
      <c r="A53">
        <v>5.6</v>
      </c>
      <c r="B53">
        <v>5.78</v>
      </c>
      <c r="E53">
        <v>6.74</v>
      </c>
      <c r="F53">
        <v>6.4</v>
      </c>
    </row>
    <row r="54" spans="1:6" ht="12.75">
      <c r="A54">
        <v>5.5</v>
      </c>
      <c r="B54">
        <v>5.68</v>
      </c>
      <c r="E54">
        <v>6.73</v>
      </c>
      <c r="F54">
        <v>6.6</v>
      </c>
    </row>
    <row r="55" spans="1:6" ht="12.75">
      <c r="A55">
        <v>5.3</v>
      </c>
      <c r="B55">
        <v>5.55</v>
      </c>
      <c r="E55">
        <v>6.73</v>
      </c>
      <c r="F55">
        <v>6.5</v>
      </c>
    </row>
    <row r="56" spans="1:6" ht="12.75">
      <c r="A56">
        <v>5.1</v>
      </c>
      <c r="B56">
        <v>5.35</v>
      </c>
      <c r="E56">
        <v>6.73</v>
      </c>
      <c r="F56">
        <v>6.4</v>
      </c>
    </row>
    <row r="57" spans="1:6" ht="12.75">
      <c r="A57">
        <v>4.8</v>
      </c>
      <c r="B57">
        <v>5.09</v>
      </c>
      <c r="E57">
        <v>6.72</v>
      </c>
      <c r="F57">
        <v>6.5</v>
      </c>
    </row>
    <row r="58" spans="1:6" ht="12.75">
      <c r="A58">
        <v>4.3</v>
      </c>
      <c r="B58">
        <v>4.7</v>
      </c>
      <c r="E58">
        <v>6.72</v>
      </c>
      <c r="F58">
        <v>6.5</v>
      </c>
    </row>
    <row r="59" spans="1:6" ht="12.75">
      <c r="A59">
        <v>3.2</v>
      </c>
      <c r="B59">
        <v>3.93</v>
      </c>
      <c r="E59">
        <v>6.71</v>
      </c>
      <c r="F59">
        <v>6.7</v>
      </c>
    </row>
    <row r="60" spans="1:6" ht="12.75">
      <c r="A60">
        <v>2.9</v>
      </c>
      <c r="B60">
        <v>3.69</v>
      </c>
      <c r="E60">
        <v>6.71</v>
      </c>
      <c r="F60">
        <v>6.6</v>
      </c>
    </row>
    <row r="61" spans="1:6" ht="12.75">
      <c r="A61">
        <v>2.7</v>
      </c>
      <c r="B61">
        <v>3.58</v>
      </c>
      <c r="E61">
        <v>6.71</v>
      </c>
      <c r="F61">
        <v>6.5</v>
      </c>
    </row>
    <row r="62" spans="1:6" ht="12.75">
      <c r="A62">
        <v>2.5</v>
      </c>
      <c r="B62">
        <v>3.44</v>
      </c>
      <c r="E62">
        <v>6.7</v>
      </c>
      <c r="F62">
        <v>6.6</v>
      </c>
    </row>
    <row r="63" spans="1:6" ht="12.75">
      <c r="A63">
        <v>2.4</v>
      </c>
      <c r="B63">
        <v>3.36</v>
      </c>
      <c r="E63">
        <v>6.68</v>
      </c>
      <c r="F63">
        <v>6.6</v>
      </c>
    </row>
    <row r="64" spans="1:6" ht="12.75">
      <c r="A64">
        <v>2.3</v>
      </c>
      <c r="B64">
        <v>3.27</v>
      </c>
      <c r="E64">
        <v>6.68</v>
      </c>
      <c r="F64">
        <v>6.4</v>
      </c>
    </row>
    <row r="65" spans="1:6" ht="12.75">
      <c r="A65">
        <v>6.4</v>
      </c>
      <c r="B65">
        <v>6.59</v>
      </c>
      <c r="E65">
        <v>6.68</v>
      </c>
      <c r="F65">
        <v>6.4</v>
      </c>
    </row>
    <row r="66" spans="1:6" ht="12.75">
      <c r="A66">
        <v>6.5</v>
      </c>
      <c r="B66">
        <v>6.6</v>
      </c>
      <c r="E66">
        <v>6.67</v>
      </c>
      <c r="F66">
        <v>6.7</v>
      </c>
    </row>
    <row r="67" spans="1:6" ht="12.75">
      <c r="A67">
        <v>6.5</v>
      </c>
      <c r="B67">
        <v>6.56</v>
      </c>
      <c r="E67">
        <v>6.66</v>
      </c>
      <c r="F67">
        <v>6.5</v>
      </c>
    </row>
    <row r="68" spans="1:6" ht="12.75">
      <c r="A68">
        <v>6.4</v>
      </c>
      <c r="B68">
        <v>6.51</v>
      </c>
      <c r="E68">
        <v>6.66</v>
      </c>
      <c r="F68">
        <v>6.3</v>
      </c>
    </row>
    <row r="69" spans="1:6" ht="12.75">
      <c r="A69">
        <v>6.4</v>
      </c>
      <c r="B69">
        <v>6.46</v>
      </c>
      <c r="E69">
        <v>6.65</v>
      </c>
      <c r="F69">
        <v>6.5</v>
      </c>
    </row>
    <row r="70" spans="1:6" ht="12.75">
      <c r="A70">
        <v>6.3</v>
      </c>
      <c r="B70">
        <v>6.43</v>
      </c>
      <c r="E70">
        <v>6.65</v>
      </c>
      <c r="F70">
        <v>6</v>
      </c>
    </row>
    <row r="71" spans="1:6" ht="12.75">
      <c r="A71">
        <v>6.3</v>
      </c>
      <c r="B71">
        <v>6.37</v>
      </c>
      <c r="E71">
        <v>6.64</v>
      </c>
      <c r="F71">
        <v>6.5</v>
      </c>
    </row>
    <row r="72" spans="1:6" ht="12.75">
      <c r="A72">
        <v>6.2</v>
      </c>
      <c r="B72">
        <v>6.33</v>
      </c>
      <c r="E72">
        <v>6.64</v>
      </c>
      <c r="F72">
        <v>6.4</v>
      </c>
    </row>
    <row r="73" spans="1:6" ht="12.75">
      <c r="A73">
        <v>6.2</v>
      </c>
      <c r="B73">
        <v>6.23</v>
      </c>
      <c r="E73">
        <v>6.63</v>
      </c>
      <c r="F73">
        <v>6.4</v>
      </c>
    </row>
    <row r="74" spans="1:6" ht="12.75">
      <c r="A74">
        <v>6.1</v>
      </c>
      <c r="B74">
        <v>6.17</v>
      </c>
      <c r="E74">
        <v>6.62</v>
      </c>
      <c r="F74">
        <v>6.5</v>
      </c>
    </row>
    <row r="75" spans="1:6" ht="12.75">
      <c r="A75">
        <v>6</v>
      </c>
      <c r="B75">
        <v>6.08</v>
      </c>
      <c r="E75">
        <v>6.62</v>
      </c>
      <c r="F75">
        <v>6.4</v>
      </c>
    </row>
    <row r="76" spans="1:6" ht="12.75">
      <c r="A76">
        <v>6</v>
      </c>
      <c r="B76">
        <v>6.05</v>
      </c>
      <c r="E76">
        <v>6.62</v>
      </c>
      <c r="F76">
        <v>6.3</v>
      </c>
    </row>
    <row r="77" spans="1:6" ht="12.75">
      <c r="A77">
        <v>5.8</v>
      </c>
      <c r="B77">
        <v>6</v>
      </c>
      <c r="E77">
        <v>6.61</v>
      </c>
      <c r="F77">
        <v>6.3</v>
      </c>
    </row>
    <row r="78" spans="1:6" ht="12.75">
      <c r="A78">
        <v>5.7</v>
      </c>
      <c r="B78">
        <v>5.9</v>
      </c>
      <c r="E78">
        <v>6.61</v>
      </c>
      <c r="F78">
        <v>6.3</v>
      </c>
    </row>
    <row r="79" spans="1:6" ht="12.75">
      <c r="A79">
        <v>5.7</v>
      </c>
      <c r="B79">
        <v>5.8</v>
      </c>
      <c r="E79">
        <v>6.6</v>
      </c>
      <c r="F79">
        <v>6.5</v>
      </c>
    </row>
    <row r="80" spans="1:6" ht="12.75">
      <c r="A80">
        <v>5.5</v>
      </c>
      <c r="B80">
        <v>5.68</v>
      </c>
      <c r="E80">
        <v>6.6</v>
      </c>
      <c r="F80">
        <v>6.1</v>
      </c>
    </row>
    <row r="81" spans="1:6" ht="12.75">
      <c r="A81">
        <v>5.4</v>
      </c>
      <c r="B81">
        <v>5.52</v>
      </c>
      <c r="E81">
        <v>6.59</v>
      </c>
      <c r="F81">
        <v>6.4</v>
      </c>
    </row>
    <row r="82" spans="1:6" ht="12.75">
      <c r="A82">
        <v>5.2</v>
      </c>
      <c r="B82">
        <v>5.36</v>
      </c>
      <c r="E82">
        <v>6.58</v>
      </c>
      <c r="F82">
        <v>6.5</v>
      </c>
    </row>
    <row r="83" spans="1:6" ht="12.75">
      <c r="A83">
        <v>4.8</v>
      </c>
      <c r="B83">
        <v>5.1</v>
      </c>
      <c r="E83">
        <v>6.58</v>
      </c>
      <c r="F83">
        <v>6.4</v>
      </c>
    </row>
    <row r="84" spans="1:6" ht="12.75">
      <c r="A84">
        <v>4.4</v>
      </c>
      <c r="B84">
        <v>4.74</v>
      </c>
      <c r="E84">
        <v>6.58</v>
      </c>
      <c r="F84">
        <v>6.4</v>
      </c>
    </row>
    <row r="85" spans="1:6" ht="12.75">
      <c r="A85">
        <v>3.7</v>
      </c>
      <c r="B85">
        <v>4.25</v>
      </c>
      <c r="E85">
        <v>6.58</v>
      </c>
      <c r="F85">
        <v>6.4</v>
      </c>
    </row>
    <row r="86" spans="1:6" ht="12.75">
      <c r="A86">
        <v>3.3</v>
      </c>
      <c r="B86">
        <v>3.94</v>
      </c>
      <c r="E86">
        <v>6.58</v>
      </c>
      <c r="F86">
        <v>5.9</v>
      </c>
    </row>
    <row r="87" spans="1:6" ht="12.75">
      <c r="A87">
        <v>3</v>
      </c>
      <c r="B87">
        <v>3.74</v>
      </c>
      <c r="E87">
        <v>6.57</v>
      </c>
      <c r="F87">
        <v>6.6</v>
      </c>
    </row>
    <row r="88" spans="1:6" ht="12.75">
      <c r="A88">
        <v>2.8</v>
      </c>
      <c r="B88">
        <v>3.55</v>
      </c>
      <c r="E88">
        <v>6.57</v>
      </c>
      <c r="F88">
        <v>6.5</v>
      </c>
    </row>
    <row r="89" spans="1:6" ht="12.75">
      <c r="A89">
        <v>2.6</v>
      </c>
      <c r="B89">
        <v>3.44</v>
      </c>
      <c r="E89">
        <v>6.56</v>
      </c>
      <c r="F89">
        <v>6.5</v>
      </c>
    </row>
    <row r="90" spans="1:6" ht="12.75">
      <c r="A90">
        <v>2.5</v>
      </c>
      <c r="B90">
        <v>3.36</v>
      </c>
      <c r="E90">
        <v>6.56</v>
      </c>
      <c r="F90">
        <v>6.5</v>
      </c>
    </row>
    <row r="91" spans="1:6" ht="12.75">
      <c r="A91">
        <v>6.5</v>
      </c>
      <c r="B91">
        <v>6.71</v>
      </c>
      <c r="E91">
        <v>6.56</v>
      </c>
      <c r="F91">
        <v>6.4</v>
      </c>
    </row>
    <row r="92" spans="1:6" ht="12.75">
      <c r="A92">
        <v>6.5</v>
      </c>
      <c r="B92">
        <v>6.66</v>
      </c>
      <c r="E92">
        <v>6.56</v>
      </c>
      <c r="F92">
        <v>6.2</v>
      </c>
    </row>
    <row r="93" spans="1:6" ht="12.75">
      <c r="A93">
        <v>6.4</v>
      </c>
      <c r="B93">
        <v>6.62</v>
      </c>
      <c r="E93">
        <v>6.55</v>
      </c>
      <c r="F93">
        <v>6.5</v>
      </c>
    </row>
    <row r="94" spans="1:6" ht="12.75">
      <c r="A94">
        <v>6.4</v>
      </c>
      <c r="B94">
        <v>6.58</v>
      </c>
      <c r="E94">
        <v>6.55</v>
      </c>
      <c r="F94">
        <v>6.4</v>
      </c>
    </row>
    <row r="95" spans="1:6" ht="12.75">
      <c r="A95">
        <v>6.3</v>
      </c>
      <c r="B95">
        <v>6.5</v>
      </c>
      <c r="E95">
        <v>6.55</v>
      </c>
      <c r="F95">
        <v>6.2</v>
      </c>
    </row>
    <row r="96" spans="1:6" ht="12.75">
      <c r="A96">
        <v>6.3</v>
      </c>
      <c r="B96">
        <v>6.44</v>
      </c>
      <c r="E96">
        <v>6.55</v>
      </c>
      <c r="F96">
        <v>6.2</v>
      </c>
    </row>
    <row r="97" spans="1:6" ht="12.75">
      <c r="A97">
        <v>6.3</v>
      </c>
      <c r="B97">
        <v>6.33</v>
      </c>
      <c r="E97">
        <v>6.52</v>
      </c>
      <c r="F97">
        <v>6.4</v>
      </c>
    </row>
    <row r="98" spans="1:6" ht="12.75">
      <c r="A98">
        <v>6.2</v>
      </c>
      <c r="B98">
        <v>6.29</v>
      </c>
      <c r="E98">
        <v>6.51</v>
      </c>
      <c r="F98">
        <v>6.4</v>
      </c>
    </row>
    <row r="99" spans="1:6" ht="12.75">
      <c r="A99">
        <v>6.2</v>
      </c>
      <c r="B99">
        <v>6.2</v>
      </c>
      <c r="E99">
        <v>6.51</v>
      </c>
      <c r="F99">
        <v>6.3</v>
      </c>
    </row>
    <row r="100" spans="1:6" ht="12.75">
      <c r="A100">
        <v>6.1</v>
      </c>
      <c r="B100">
        <v>6.13</v>
      </c>
      <c r="E100">
        <v>6.5</v>
      </c>
      <c r="F100">
        <v>6.3</v>
      </c>
    </row>
    <row r="101" spans="1:6" ht="12.75">
      <c r="A101">
        <v>6</v>
      </c>
      <c r="B101">
        <v>6.08</v>
      </c>
      <c r="E101">
        <v>6.5</v>
      </c>
      <c r="F101">
        <v>6.3</v>
      </c>
    </row>
    <row r="102" spans="1:6" ht="12.75">
      <c r="A102">
        <v>5.9</v>
      </c>
      <c r="B102">
        <v>6.03</v>
      </c>
      <c r="E102">
        <v>6.5</v>
      </c>
      <c r="F102">
        <v>6.2</v>
      </c>
    </row>
    <row r="103" spans="1:6" ht="12.75">
      <c r="A103">
        <v>5.9</v>
      </c>
      <c r="B103">
        <v>5.99</v>
      </c>
      <c r="E103">
        <v>6.5</v>
      </c>
      <c r="F103">
        <v>6.2</v>
      </c>
    </row>
    <row r="104" spans="1:6" ht="12.75">
      <c r="A104">
        <v>5.8</v>
      </c>
      <c r="B104">
        <v>5.92</v>
      </c>
      <c r="E104">
        <v>6.5</v>
      </c>
      <c r="F104">
        <v>6.2</v>
      </c>
    </row>
    <row r="105" spans="1:6" ht="12.75">
      <c r="A105">
        <v>5.7</v>
      </c>
      <c r="B105">
        <v>5.74</v>
      </c>
      <c r="E105">
        <v>6.49</v>
      </c>
      <c r="F105">
        <v>6.5</v>
      </c>
    </row>
    <row r="106" spans="1:6" ht="12.75">
      <c r="A106">
        <v>5.6</v>
      </c>
      <c r="B106">
        <v>5.63</v>
      </c>
      <c r="E106">
        <v>6.49</v>
      </c>
      <c r="F106">
        <v>6.4</v>
      </c>
    </row>
    <row r="107" spans="1:6" ht="12.75">
      <c r="A107">
        <v>5.5</v>
      </c>
      <c r="B107">
        <v>5.56</v>
      </c>
      <c r="E107">
        <v>6.49</v>
      </c>
      <c r="F107">
        <v>6.2</v>
      </c>
    </row>
    <row r="108" spans="1:6" ht="12.75">
      <c r="A108">
        <v>5.2</v>
      </c>
      <c r="B108">
        <v>5.34</v>
      </c>
      <c r="E108">
        <v>6.46</v>
      </c>
      <c r="F108">
        <v>6.4</v>
      </c>
    </row>
    <row r="109" spans="1:6" ht="12.75">
      <c r="A109">
        <v>4.8</v>
      </c>
      <c r="B109">
        <v>5.12</v>
      </c>
      <c r="E109">
        <v>6.46</v>
      </c>
      <c r="F109">
        <v>6</v>
      </c>
    </row>
    <row r="110" spans="1:6" ht="12.75">
      <c r="A110">
        <v>4.3</v>
      </c>
      <c r="B110">
        <v>4.8</v>
      </c>
      <c r="E110">
        <v>6.45</v>
      </c>
      <c r="F110">
        <v>6.3</v>
      </c>
    </row>
    <row r="111" spans="1:6" ht="12.75">
      <c r="A111">
        <v>3.9</v>
      </c>
      <c r="B111">
        <v>4.31</v>
      </c>
      <c r="E111">
        <v>6.45</v>
      </c>
      <c r="F111">
        <v>6</v>
      </c>
    </row>
    <row r="112" spans="1:6" ht="12.75">
      <c r="A112">
        <v>3.3</v>
      </c>
      <c r="B112">
        <v>4.01</v>
      </c>
      <c r="E112">
        <v>6.44</v>
      </c>
      <c r="F112">
        <v>6.4</v>
      </c>
    </row>
    <row r="113" spans="1:6" ht="12.75">
      <c r="A113">
        <v>3</v>
      </c>
      <c r="B113">
        <v>3.79</v>
      </c>
      <c r="E113">
        <v>6.44</v>
      </c>
      <c r="F113">
        <v>6.3</v>
      </c>
    </row>
    <row r="114" spans="1:6" ht="12.75">
      <c r="A114">
        <v>2.8</v>
      </c>
      <c r="B114">
        <v>3.6</v>
      </c>
      <c r="E114">
        <v>6.43</v>
      </c>
      <c r="F114">
        <v>6.3</v>
      </c>
    </row>
    <row r="115" spans="1:6" ht="12.75">
      <c r="A115">
        <v>2.7</v>
      </c>
      <c r="B115">
        <v>3.6</v>
      </c>
      <c r="E115">
        <v>6.43</v>
      </c>
      <c r="F115">
        <v>6.2</v>
      </c>
    </row>
    <row r="116" spans="1:6" ht="12.75">
      <c r="A116">
        <v>2.5</v>
      </c>
      <c r="B116">
        <v>3.38</v>
      </c>
      <c r="E116">
        <v>6.43</v>
      </c>
      <c r="F116">
        <v>6.1</v>
      </c>
    </row>
    <row r="117" spans="1:6" ht="12.75">
      <c r="A117">
        <v>7.2</v>
      </c>
      <c r="B117">
        <v>7.45</v>
      </c>
      <c r="E117">
        <v>6.42</v>
      </c>
      <c r="F117">
        <v>6.5</v>
      </c>
    </row>
    <row r="118" spans="1:6" ht="12.75">
      <c r="A118">
        <v>7</v>
      </c>
      <c r="B118">
        <v>7.27</v>
      </c>
      <c r="E118">
        <v>6.42</v>
      </c>
      <c r="F118">
        <v>6.3</v>
      </c>
    </row>
    <row r="119" spans="1:6" ht="12.75">
      <c r="A119">
        <v>6.8</v>
      </c>
      <c r="B119">
        <v>7.05</v>
      </c>
      <c r="E119">
        <v>6.42</v>
      </c>
      <c r="F119">
        <v>6.1</v>
      </c>
    </row>
    <row r="120" spans="1:6" ht="12.75">
      <c r="A120">
        <v>6.8</v>
      </c>
      <c r="B120">
        <v>6.95</v>
      </c>
      <c r="E120">
        <v>6.42</v>
      </c>
      <c r="F120">
        <v>6.1</v>
      </c>
    </row>
    <row r="121" spans="1:6" ht="12.75">
      <c r="A121">
        <v>6.7</v>
      </c>
      <c r="B121">
        <v>6.9</v>
      </c>
      <c r="E121">
        <v>6.41</v>
      </c>
      <c r="F121">
        <v>6.2</v>
      </c>
    </row>
    <row r="122" spans="1:6" ht="12.75">
      <c r="A122">
        <v>6.5</v>
      </c>
      <c r="B122">
        <v>6.78</v>
      </c>
      <c r="E122">
        <v>6.41</v>
      </c>
      <c r="F122">
        <v>6.2</v>
      </c>
    </row>
    <row r="123" spans="1:6" ht="12.75">
      <c r="A123">
        <v>6.5</v>
      </c>
      <c r="B123">
        <v>6.73</v>
      </c>
      <c r="E123">
        <v>6.41</v>
      </c>
      <c r="F123">
        <v>6.2</v>
      </c>
    </row>
    <row r="124" spans="1:6" ht="12.75">
      <c r="A124">
        <v>6.4</v>
      </c>
      <c r="B124">
        <v>6.64</v>
      </c>
      <c r="E124">
        <v>6.4</v>
      </c>
      <c r="F124">
        <v>6.3</v>
      </c>
    </row>
    <row r="125" spans="1:6" ht="12.75">
      <c r="A125">
        <v>6.4</v>
      </c>
      <c r="B125">
        <v>6.58</v>
      </c>
      <c r="E125">
        <v>6.4</v>
      </c>
      <c r="F125">
        <v>6</v>
      </c>
    </row>
    <row r="126" spans="1:6" ht="12.75">
      <c r="A126">
        <v>6.3</v>
      </c>
      <c r="B126">
        <v>6.51</v>
      </c>
      <c r="E126">
        <v>6.38</v>
      </c>
      <c r="F126">
        <v>5.9</v>
      </c>
    </row>
    <row r="127" spans="1:6" ht="12.75">
      <c r="A127">
        <v>6.3</v>
      </c>
      <c r="B127">
        <v>6.45</v>
      </c>
      <c r="E127">
        <v>6.37</v>
      </c>
      <c r="F127">
        <v>6.3</v>
      </c>
    </row>
    <row r="128" spans="1:6" ht="12.75">
      <c r="A128">
        <v>6.1</v>
      </c>
      <c r="B128">
        <v>6.37</v>
      </c>
      <c r="E128">
        <v>6.37</v>
      </c>
      <c r="F128">
        <v>6.1</v>
      </c>
    </row>
    <row r="129" spans="1:6" ht="12.75">
      <c r="A129">
        <v>6.1</v>
      </c>
      <c r="B129">
        <v>6.29</v>
      </c>
      <c r="E129">
        <v>6.36</v>
      </c>
      <c r="F129">
        <v>6.2</v>
      </c>
    </row>
    <row r="130" spans="1:6" ht="12.75">
      <c r="A130">
        <v>6.1</v>
      </c>
      <c r="B130">
        <v>6.22</v>
      </c>
      <c r="E130">
        <v>6.36</v>
      </c>
      <c r="F130">
        <v>6.2</v>
      </c>
    </row>
    <row r="131" spans="1:6" ht="12.75">
      <c r="A131">
        <v>6</v>
      </c>
      <c r="B131">
        <v>6.13</v>
      </c>
      <c r="E131">
        <v>6.36</v>
      </c>
      <c r="F131">
        <v>6</v>
      </c>
    </row>
    <row r="132" spans="1:6" ht="12.75">
      <c r="A132">
        <v>5.9</v>
      </c>
      <c r="B132">
        <v>6.05</v>
      </c>
      <c r="E132">
        <v>6.35</v>
      </c>
      <c r="F132">
        <v>6.3</v>
      </c>
    </row>
    <row r="133" spans="1:6" ht="12.75">
      <c r="A133">
        <v>5.8</v>
      </c>
      <c r="B133">
        <v>5.97</v>
      </c>
      <c r="E133">
        <v>6.34</v>
      </c>
      <c r="F133">
        <v>6.5</v>
      </c>
    </row>
    <row r="134" spans="1:6" ht="12.75">
      <c r="A134">
        <v>5.7</v>
      </c>
      <c r="B134">
        <v>5.86</v>
      </c>
      <c r="E134">
        <v>6.34</v>
      </c>
      <c r="F134">
        <v>6.4</v>
      </c>
    </row>
    <row r="135" spans="1:6" ht="12.75">
      <c r="A135">
        <v>5.6</v>
      </c>
      <c r="B135">
        <v>5.76</v>
      </c>
      <c r="E135">
        <v>6.34</v>
      </c>
      <c r="F135">
        <v>6.4</v>
      </c>
    </row>
    <row r="136" spans="1:6" ht="12.75">
      <c r="A136">
        <v>5.2</v>
      </c>
      <c r="B136">
        <v>5.43</v>
      </c>
      <c r="E136">
        <v>6.34</v>
      </c>
      <c r="F136">
        <v>6.3</v>
      </c>
    </row>
    <row r="137" spans="1:6" ht="12.75">
      <c r="A137">
        <v>4.8</v>
      </c>
      <c r="B137">
        <v>5.15</v>
      </c>
      <c r="E137">
        <v>6.34</v>
      </c>
      <c r="F137">
        <v>6.1</v>
      </c>
    </row>
    <row r="138" spans="1:6" ht="12.75">
      <c r="A138">
        <v>3.7</v>
      </c>
      <c r="B138">
        <v>4.3</v>
      </c>
      <c r="E138">
        <v>6.33</v>
      </c>
      <c r="F138">
        <v>6.3</v>
      </c>
    </row>
    <row r="139" spans="1:6" ht="12.75">
      <c r="A139">
        <v>2.9</v>
      </c>
      <c r="B139">
        <v>3.72</v>
      </c>
      <c r="E139">
        <v>6.33</v>
      </c>
      <c r="F139">
        <v>6.2</v>
      </c>
    </row>
    <row r="140" spans="1:6" ht="12.75">
      <c r="A140">
        <v>2.4</v>
      </c>
      <c r="B140">
        <v>3.45</v>
      </c>
      <c r="E140">
        <v>6.33</v>
      </c>
      <c r="F140">
        <v>6.2</v>
      </c>
    </row>
    <row r="141" spans="1:6" ht="12.75">
      <c r="A141">
        <v>2.2</v>
      </c>
      <c r="B141">
        <v>3.24</v>
      </c>
      <c r="E141">
        <v>6.33</v>
      </c>
      <c r="F141">
        <v>6</v>
      </c>
    </row>
    <row r="142" spans="1:6" ht="12.75">
      <c r="A142">
        <v>2.1</v>
      </c>
      <c r="B142">
        <v>3.12</v>
      </c>
      <c r="E142">
        <v>6.32</v>
      </c>
      <c r="F142">
        <v>6.4</v>
      </c>
    </row>
    <row r="143" spans="1:6" ht="12.75">
      <c r="A143">
        <v>7.2</v>
      </c>
      <c r="B143">
        <v>7.41</v>
      </c>
      <c r="E143">
        <v>6.32</v>
      </c>
      <c r="F143">
        <v>6.2</v>
      </c>
    </row>
    <row r="144" spans="1:6" ht="12.75">
      <c r="A144">
        <v>7</v>
      </c>
      <c r="B144">
        <v>7.25</v>
      </c>
      <c r="E144">
        <v>6.32</v>
      </c>
      <c r="F144">
        <v>6.1</v>
      </c>
    </row>
    <row r="145" spans="1:6" ht="12.75">
      <c r="A145">
        <v>6.8</v>
      </c>
      <c r="B145">
        <v>7.09</v>
      </c>
      <c r="E145">
        <v>6.3</v>
      </c>
      <c r="F145">
        <v>6.4</v>
      </c>
    </row>
    <row r="146" spans="1:6" ht="12.75">
      <c r="A146">
        <v>6.7</v>
      </c>
      <c r="B146">
        <v>6.92</v>
      </c>
      <c r="E146">
        <v>6.3</v>
      </c>
      <c r="F146">
        <v>6.3</v>
      </c>
    </row>
    <row r="147" spans="1:6" ht="12.75">
      <c r="A147">
        <v>6.6</v>
      </c>
      <c r="B147">
        <v>6.86</v>
      </c>
      <c r="E147">
        <v>6.3</v>
      </c>
      <c r="F147">
        <v>6.1</v>
      </c>
    </row>
    <row r="148" spans="1:6" ht="12.75">
      <c r="A148">
        <v>6.5</v>
      </c>
      <c r="B148">
        <v>6.77</v>
      </c>
      <c r="E148">
        <v>6.3</v>
      </c>
      <c r="F148">
        <v>6.1</v>
      </c>
    </row>
    <row r="149" spans="1:6" ht="12.75">
      <c r="A149">
        <v>6.4</v>
      </c>
      <c r="B149">
        <v>6.73</v>
      </c>
      <c r="E149">
        <v>6.29</v>
      </c>
      <c r="F149">
        <v>6.2</v>
      </c>
    </row>
    <row r="150" spans="1:6" ht="12.75">
      <c r="A150">
        <v>6.3</v>
      </c>
      <c r="B150">
        <v>6.66</v>
      </c>
      <c r="E150">
        <v>6.29</v>
      </c>
      <c r="F150">
        <v>6.1</v>
      </c>
    </row>
    <row r="151" spans="1:6" ht="12.75">
      <c r="A151">
        <v>6.2</v>
      </c>
      <c r="B151">
        <v>6.56</v>
      </c>
      <c r="E151">
        <v>6.29</v>
      </c>
      <c r="F151">
        <v>6</v>
      </c>
    </row>
    <row r="152" spans="1:6" ht="12.75">
      <c r="A152">
        <v>6.2</v>
      </c>
      <c r="B152">
        <v>6.5</v>
      </c>
      <c r="E152">
        <v>6.28</v>
      </c>
      <c r="F152">
        <v>6.1</v>
      </c>
    </row>
    <row r="153" spans="1:6" ht="12.75">
      <c r="A153">
        <v>6.1</v>
      </c>
      <c r="B153">
        <v>6.42</v>
      </c>
      <c r="E153">
        <v>6.28</v>
      </c>
      <c r="F153">
        <v>6.1</v>
      </c>
    </row>
    <row r="154" spans="1:6" ht="12.75">
      <c r="A154">
        <v>6</v>
      </c>
      <c r="B154">
        <v>6.36</v>
      </c>
      <c r="E154">
        <v>6.26</v>
      </c>
      <c r="F154">
        <v>6.3</v>
      </c>
    </row>
    <row r="155" spans="1:6" ht="12.75">
      <c r="A155">
        <v>6</v>
      </c>
      <c r="B155">
        <v>6.29</v>
      </c>
      <c r="E155">
        <v>6.26</v>
      </c>
      <c r="F155">
        <v>6.1</v>
      </c>
    </row>
    <row r="156" spans="1:6" ht="12.75">
      <c r="A156">
        <v>5.9</v>
      </c>
      <c r="B156">
        <v>6.14</v>
      </c>
      <c r="E156">
        <v>6.26</v>
      </c>
      <c r="F156">
        <v>6.1</v>
      </c>
    </row>
    <row r="157" spans="1:6" ht="12.75">
      <c r="A157">
        <v>5.8</v>
      </c>
      <c r="B157">
        <v>6.1</v>
      </c>
      <c r="E157">
        <v>6.25</v>
      </c>
      <c r="F157">
        <v>6.1</v>
      </c>
    </row>
    <row r="158" spans="1:6" ht="12.75">
      <c r="A158">
        <v>5.8</v>
      </c>
      <c r="B158">
        <v>6.07</v>
      </c>
      <c r="E158">
        <v>6.23</v>
      </c>
      <c r="F158">
        <v>6.2</v>
      </c>
    </row>
    <row r="159" spans="1:6" ht="12.75">
      <c r="A159">
        <v>5.7</v>
      </c>
      <c r="B159">
        <v>5.95</v>
      </c>
      <c r="E159">
        <v>6.22</v>
      </c>
      <c r="F159">
        <v>6.2</v>
      </c>
    </row>
    <row r="160" spans="1:6" ht="12.75">
      <c r="A160">
        <v>5.6</v>
      </c>
      <c r="B160">
        <v>5.88</v>
      </c>
      <c r="E160">
        <v>6.22</v>
      </c>
      <c r="F160">
        <v>6.1</v>
      </c>
    </row>
    <row r="161" spans="1:6" ht="12.75">
      <c r="A161">
        <v>5.5</v>
      </c>
      <c r="B161">
        <v>5.8</v>
      </c>
      <c r="E161">
        <v>6.22</v>
      </c>
      <c r="F161">
        <v>6</v>
      </c>
    </row>
    <row r="162" spans="1:6" ht="12.75">
      <c r="A162">
        <v>5.4</v>
      </c>
      <c r="B162">
        <v>5.61</v>
      </c>
      <c r="E162">
        <v>6.21</v>
      </c>
      <c r="F162">
        <v>6</v>
      </c>
    </row>
    <row r="163" spans="1:6" ht="12.75">
      <c r="A163">
        <v>5.2</v>
      </c>
      <c r="B163">
        <v>5.47</v>
      </c>
      <c r="E163">
        <v>6.2</v>
      </c>
      <c r="F163">
        <v>6.3</v>
      </c>
    </row>
    <row r="164" spans="1:6" ht="12.75">
      <c r="A164">
        <v>5.1</v>
      </c>
      <c r="B164">
        <v>5.4</v>
      </c>
      <c r="E164">
        <v>6.2</v>
      </c>
      <c r="F164">
        <v>6.2</v>
      </c>
    </row>
    <row r="165" spans="1:6" ht="12.75">
      <c r="A165">
        <v>4.9</v>
      </c>
      <c r="B165">
        <v>5.27</v>
      </c>
      <c r="E165">
        <v>6.2</v>
      </c>
      <c r="F165">
        <v>6.1</v>
      </c>
    </row>
    <row r="166" spans="1:6" ht="12.75">
      <c r="A166">
        <v>4.7</v>
      </c>
      <c r="B166">
        <v>5.09</v>
      </c>
      <c r="E166">
        <v>6.2</v>
      </c>
      <c r="F166">
        <v>6</v>
      </c>
    </row>
    <row r="167" spans="1:6" ht="12.75">
      <c r="A167">
        <v>4.2</v>
      </c>
      <c r="B167">
        <v>4.67</v>
      </c>
      <c r="E167">
        <v>6.2</v>
      </c>
      <c r="F167">
        <v>6</v>
      </c>
    </row>
    <row r="168" spans="1:6" ht="12.75">
      <c r="A168">
        <v>3.4</v>
      </c>
      <c r="B168">
        <v>4.13</v>
      </c>
      <c r="E168">
        <v>6.18</v>
      </c>
      <c r="F168">
        <v>6.4</v>
      </c>
    </row>
    <row r="169" spans="1:6" ht="12.75">
      <c r="A169">
        <v>3.1</v>
      </c>
      <c r="B169">
        <v>3.89</v>
      </c>
      <c r="E169">
        <v>6.18</v>
      </c>
      <c r="F169">
        <v>6.2</v>
      </c>
    </row>
    <row r="170" spans="1:6" ht="12.75">
      <c r="A170">
        <v>2.8</v>
      </c>
      <c r="B170">
        <v>3.66</v>
      </c>
      <c r="E170">
        <v>6.18</v>
      </c>
      <c r="F170">
        <v>6</v>
      </c>
    </row>
    <row r="171" spans="1:6" ht="12.75">
      <c r="A171">
        <v>2.6</v>
      </c>
      <c r="B171">
        <v>3.5</v>
      </c>
      <c r="E171">
        <v>6.17</v>
      </c>
      <c r="F171">
        <v>6.1</v>
      </c>
    </row>
    <row r="172" spans="1:6" ht="12.75">
      <c r="A172">
        <v>2.3</v>
      </c>
      <c r="B172">
        <v>3.33</v>
      </c>
      <c r="E172">
        <v>6.15</v>
      </c>
      <c r="F172">
        <v>5.9</v>
      </c>
    </row>
    <row r="173" spans="1:6" ht="12.75">
      <c r="A173">
        <v>2.2</v>
      </c>
      <c r="B173">
        <v>3.2</v>
      </c>
      <c r="E173">
        <v>6.15</v>
      </c>
      <c r="F173">
        <v>5.9</v>
      </c>
    </row>
    <row r="174" spans="1:6" ht="12.75">
      <c r="A174">
        <v>7.2</v>
      </c>
      <c r="B174">
        <v>7.43</v>
      </c>
      <c r="E174">
        <v>6.14</v>
      </c>
      <c r="F174">
        <v>5.9</v>
      </c>
    </row>
    <row r="175" spans="1:6" ht="12.75">
      <c r="A175">
        <v>5.8</v>
      </c>
      <c r="B175">
        <v>6.06</v>
      </c>
      <c r="E175">
        <v>6.13</v>
      </c>
      <c r="F175">
        <v>6.1</v>
      </c>
    </row>
    <row r="176" spans="1:6" ht="12.75">
      <c r="A176">
        <v>5.6</v>
      </c>
      <c r="B176">
        <v>5.9</v>
      </c>
      <c r="E176">
        <v>6.13</v>
      </c>
      <c r="F176">
        <v>6.1</v>
      </c>
    </row>
    <row r="177" spans="1:6" ht="12.75">
      <c r="A177">
        <v>5.5</v>
      </c>
      <c r="B177">
        <v>5.7</v>
      </c>
      <c r="E177">
        <v>6.13</v>
      </c>
      <c r="F177">
        <v>6</v>
      </c>
    </row>
    <row r="178" spans="1:6" ht="12.75">
      <c r="A178">
        <v>5.2</v>
      </c>
      <c r="B178">
        <v>5.56</v>
      </c>
      <c r="E178">
        <v>6.12</v>
      </c>
      <c r="F178">
        <v>5.9</v>
      </c>
    </row>
    <row r="179" spans="1:6" ht="12.75">
      <c r="A179">
        <v>5</v>
      </c>
      <c r="B179">
        <v>5.36</v>
      </c>
      <c r="E179">
        <v>6.12</v>
      </c>
      <c r="F179">
        <v>5.9</v>
      </c>
    </row>
    <row r="180" spans="1:6" ht="12.75">
      <c r="A180">
        <v>4.9</v>
      </c>
      <c r="B180">
        <v>5.27</v>
      </c>
      <c r="E180">
        <v>6.1</v>
      </c>
      <c r="F180">
        <v>6</v>
      </c>
    </row>
    <row r="181" spans="1:6" ht="12.75">
      <c r="A181">
        <v>4.7</v>
      </c>
      <c r="B181">
        <v>5.13</v>
      </c>
      <c r="E181">
        <v>6.1</v>
      </c>
      <c r="F181">
        <v>6</v>
      </c>
    </row>
    <row r="182" spans="1:6" ht="12.75">
      <c r="A182">
        <v>4.3</v>
      </c>
      <c r="B182">
        <v>4.83</v>
      </c>
      <c r="E182">
        <v>6.1</v>
      </c>
      <c r="F182">
        <v>5.8</v>
      </c>
    </row>
    <row r="183" spans="1:6" ht="12.75">
      <c r="A183">
        <v>3.8</v>
      </c>
      <c r="B183">
        <v>4.43</v>
      </c>
      <c r="E183">
        <v>6.1</v>
      </c>
      <c r="F183">
        <v>5.7</v>
      </c>
    </row>
    <row r="184" spans="1:6" ht="12.75">
      <c r="A184">
        <v>3.2</v>
      </c>
      <c r="B184">
        <v>3.96</v>
      </c>
      <c r="E184">
        <v>6.08</v>
      </c>
      <c r="F184">
        <v>6</v>
      </c>
    </row>
    <row r="185" spans="1:6" ht="12.75">
      <c r="A185">
        <v>2.9</v>
      </c>
      <c r="B185">
        <v>3.77</v>
      </c>
      <c r="E185">
        <v>6.08</v>
      </c>
      <c r="F185">
        <v>6</v>
      </c>
    </row>
    <row r="186" spans="1:6" ht="12.75">
      <c r="A186">
        <v>2.7</v>
      </c>
      <c r="B186">
        <v>3.59</v>
      </c>
      <c r="E186">
        <v>6.08</v>
      </c>
      <c r="F186">
        <v>5.9</v>
      </c>
    </row>
    <row r="187" spans="1:6" ht="12.75">
      <c r="A187">
        <v>2.5</v>
      </c>
      <c r="B187">
        <v>3.44</v>
      </c>
      <c r="E187">
        <v>6.07</v>
      </c>
      <c r="F187">
        <v>5.8</v>
      </c>
    </row>
    <row r="188" spans="1:6" ht="12.75">
      <c r="A188">
        <v>2.3</v>
      </c>
      <c r="B188">
        <v>3.3</v>
      </c>
      <c r="E188">
        <v>6.06</v>
      </c>
      <c r="F188">
        <v>6.2</v>
      </c>
    </row>
    <row r="189" spans="1:6" ht="12.75">
      <c r="A189">
        <v>2.1</v>
      </c>
      <c r="B189">
        <v>3.17</v>
      </c>
      <c r="E189">
        <v>6.06</v>
      </c>
      <c r="F189">
        <v>6.2</v>
      </c>
    </row>
    <row r="190" spans="1:6" ht="12.75">
      <c r="A190">
        <v>6.7</v>
      </c>
      <c r="B190">
        <v>7</v>
      </c>
      <c r="E190">
        <v>6.06</v>
      </c>
      <c r="F190">
        <v>6.1</v>
      </c>
    </row>
    <row r="191" spans="1:6" ht="12.75">
      <c r="A191">
        <v>6.6</v>
      </c>
      <c r="B191">
        <v>6.87</v>
      </c>
      <c r="E191">
        <v>6.06</v>
      </c>
      <c r="F191">
        <v>5.8</v>
      </c>
    </row>
    <row r="192" spans="1:6" ht="12.75">
      <c r="A192">
        <v>6.6</v>
      </c>
      <c r="B192">
        <v>6.8</v>
      </c>
      <c r="E192">
        <v>6.06</v>
      </c>
      <c r="F192">
        <v>5.8</v>
      </c>
    </row>
    <row r="193" spans="1:6" ht="12.75">
      <c r="A193">
        <v>6.4</v>
      </c>
      <c r="B193">
        <v>6.74</v>
      </c>
      <c r="E193">
        <v>6.06</v>
      </c>
      <c r="F193">
        <v>5.8</v>
      </c>
    </row>
    <row r="194" spans="1:6" ht="12.75">
      <c r="A194">
        <v>6.4</v>
      </c>
      <c r="B194">
        <v>6.68</v>
      </c>
      <c r="E194">
        <v>6.05</v>
      </c>
      <c r="F194">
        <v>6</v>
      </c>
    </row>
    <row r="195" spans="1:6" ht="12.75">
      <c r="A195">
        <v>6.3</v>
      </c>
      <c r="B195">
        <v>6.61</v>
      </c>
      <c r="E195">
        <v>6.05</v>
      </c>
      <c r="F195">
        <v>5.9</v>
      </c>
    </row>
    <row r="196" spans="1:6" ht="12.75">
      <c r="A196">
        <v>6.2</v>
      </c>
      <c r="B196">
        <v>6.55</v>
      </c>
      <c r="E196">
        <v>6.04</v>
      </c>
      <c r="F196">
        <v>6.3</v>
      </c>
    </row>
    <row r="197" spans="1:6" ht="12.75">
      <c r="A197">
        <v>6.2</v>
      </c>
      <c r="B197">
        <v>6.5</v>
      </c>
      <c r="E197">
        <v>6.04</v>
      </c>
      <c r="F197">
        <v>6.1</v>
      </c>
    </row>
    <row r="198" spans="1:6" ht="12.75">
      <c r="A198">
        <v>6.2</v>
      </c>
      <c r="B198">
        <v>6.41</v>
      </c>
      <c r="E198">
        <v>6.03</v>
      </c>
      <c r="F198">
        <v>5.9</v>
      </c>
    </row>
    <row r="199" spans="1:6" ht="12.75">
      <c r="A199">
        <v>6.2</v>
      </c>
      <c r="B199">
        <v>6.36</v>
      </c>
      <c r="E199">
        <v>6.03</v>
      </c>
      <c r="F199">
        <v>5.6</v>
      </c>
    </row>
    <row r="200" spans="1:6" ht="12.75">
      <c r="A200">
        <v>6.1</v>
      </c>
      <c r="B200">
        <v>6.3</v>
      </c>
      <c r="E200">
        <v>6.02</v>
      </c>
      <c r="F200">
        <v>6.1</v>
      </c>
    </row>
    <row r="201" spans="1:6" ht="12.75">
      <c r="A201">
        <v>6.1</v>
      </c>
      <c r="B201">
        <v>6.26</v>
      </c>
      <c r="E201">
        <v>6.02</v>
      </c>
      <c r="F201">
        <v>6</v>
      </c>
    </row>
    <row r="202" spans="1:6" ht="12.75">
      <c r="A202">
        <v>6</v>
      </c>
      <c r="B202">
        <v>6.2</v>
      </c>
      <c r="E202">
        <v>6.02</v>
      </c>
      <c r="F202">
        <v>5.7</v>
      </c>
    </row>
    <row r="203" spans="1:6" ht="12.75">
      <c r="A203">
        <v>5.9</v>
      </c>
      <c r="B203">
        <v>6.12</v>
      </c>
      <c r="E203">
        <v>6</v>
      </c>
      <c r="F203">
        <v>6</v>
      </c>
    </row>
    <row r="204" spans="1:6" ht="12.75">
      <c r="A204">
        <v>5.8</v>
      </c>
      <c r="B204">
        <v>6.06</v>
      </c>
      <c r="E204">
        <v>6</v>
      </c>
      <c r="F204">
        <v>6</v>
      </c>
    </row>
    <row r="205" spans="1:6" ht="12.75">
      <c r="A205">
        <v>5.8</v>
      </c>
      <c r="B205">
        <v>5.97</v>
      </c>
      <c r="E205">
        <v>6</v>
      </c>
      <c r="F205">
        <v>6</v>
      </c>
    </row>
    <row r="206" spans="1:6" ht="12.75">
      <c r="A206">
        <v>5.7</v>
      </c>
      <c r="B206">
        <v>5.91</v>
      </c>
      <c r="E206">
        <v>6</v>
      </c>
      <c r="F206">
        <v>5.8</v>
      </c>
    </row>
    <row r="207" spans="1:6" ht="12.75">
      <c r="A207">
        <v>5.5</v>
      </c>
      <c r="B207">
        <v>5.79</v>
      </c>
      <c r="E207">
        <v>6</v>
      </c>
      <c r="F207">
        <v>5.8</v>
      </c>
    </row>
    <row r="208" spans="1:6" ht="12.75">
      <c r="A208">
        <v>5.5</v>
      </c>
      <c r="B208">
        <v>5.68</v>
      </c>
      <c r="E208">
        <v>5.99</v>
      </c>
      <c r="F208">
        <v>5.9</v>
      </c>
    </row>
    <row r="209" spans="1:6" ht="12.75">
      <c r="A209">
        <v>5.2</v>
      </c>
      <c r="B209">
        <v>5.48</v>
      </c>
      <c r="E209">
        <v>5.98</v>
      </c>
      <c r="F209">
        <v>5.9</v>
      </c>
    </row>
    <row r="210" spans="1:6" ht="12.75">
      <c r="A210">
        <v>4.9</v>
      </c>
      <c r="B210">
        <v>5.15</v>
      </c>
      <c r="E210">
        <v>5.98</v>
      </c>
      <c r="F210">
        <v>5.7</v>
      </c>
    </row>
    <row r="211" spans="1:6" ht="12.75">
      <c r="A211">
        <v>4.2</v>
      </c>
      <c r="B211">
        <v>4.56</v>
      </c>
      <c r="E211">
        <v>5.97</v>
      </c>
      <c r="F211">
        <v>5.8</v>
      </c>
    </row>
    <row r="212" spans="1:6" ht="12.75">
      <c r="A212">
        <v>3.4</v>
      </c>
      <c r="B212">
        <v>4.03</v>
      </c>
      <c r="E212">
        <v>5.97</v>
      </c>
      <c r="F212">
        <v>5.8</v>
      </c>
    </row>
    <row r="213" spans="1:6" ht="12.75">
      <c r="A213">
        <v>3.1</v>
      </c>
      <c r="B213">
        <v>3.76</v>
      </c>
      <c r="E213">
        <v>5.97</v>
      </c>
      <c r="F213">
        <v>5.8</v>
      </c>
    </row>
    <row r="214" spans="1:6" ht="12.75">
      <c r="A214">
        <v>2.9</v>
      </c>
      <c r="B214">
        <v>3.58</v>
      </c>
      <c r="E214">
        <v>5.97</v>
      </c>
      <c r="F214">
        <v>5.8</v>
      </c>
    </row>
    <row r="215" spans="1:6" ht="12.75">
      <c r="A215">
        <v>2.7</v>
      </c>
      <c r="B215">
        <v>3.46</v>
      </c>
      <c r="E215">
        <v>5.96</v>
      </c>
      <c r="F215">
        <v>6.1</v>
      </c>
    </row>
    <row r="216" spans="1:6" ht="12.75">
      <c r="A216">
        <v>6.7</v>
      </c>
      <c r="B216">
        <v>7</v>
      </c>
      <c r="E216">
        <v>5.95</v>
      </c>
      <c r="F216">
        <v>6.2</v>
      </c>
    </row>
    <row r="217" spans="1:6" ht="12.75">
      <c r="A217">
        <v>6.6</v>
      </c>
      <c r="B217">
        <v>6.87</v>
      </c>
      <c r="E217">
        <v>5.95</v>
      </c>
      <c r="F217">
        <v>5.7</v>
      </c>
    </row>
    <row r="218" spans="1:6" ht="12.75">
      <c r="A218">
        <v>6.6</v>
      </c>
      <c r="B218">
        <v>6.8</v>
      </c>
      <c r="E218">
        <v>5.94</v>
      </c>
      <c r="F218">
        <v>5.9</v>
      </c>
    </row>
    <row r="219" spans="1:6" ht="12.75">
      <c r="A219">
        <v>6.4</v>
      </c>
      <c r="B219">
        <v>6.74</v>
      </c>
      <c r="E219">
        <v>5.92</v>
      </c>
      <c r="F219">
        <v>5.8</v>
      </c>
    </row>
    <row r="220" spans="1:6" ht="12.75">
      <c r="A220">
        <v>6.4</v>
      </c>
      <c r="B220">
        <v>6.68</v>
      </c>
      <c r="E220">
        <v>5.91</v>
      </c>
      <c r="F220">
        <v>5.7</v>
      </c>
    </row>
    <row r="221" spans="1:6" ht="12.75">
      <c r="A221">
        <v>6.3</v>
      </c>
      <c r="B221">
        <v>6.61</v>
      </c>
      <c r="E221">
        <v>5.91</v>
      </c>
      <c r="F221">
        <v>5.7</v>
      </c>
    </row>
    <row r="222" spans="1:6" ht="12.75">
      <c r="A222">
        <v>6.2</v>
      </c>
      <c r="B222">
        <v>6.55</v>
      </c>
      <c r="E222">
        <v>5.9</v>
      </c>
      <c r="F222">
        <v>5.7</v>
      </c>
    </row>
    <row r="223" spans="1:6" ht="12.75">
      <c r="A223">
        <v>6.2</v>
      </c>
      <c r="B223">
        <v>6.5</v>
      </c>
      <c r="E223">
        <v>5.9</v>
      </c>
      <c r="F223">
        <v>5.7</v>
      </c>
    </row>
    <row r="224" spans="1:6" ht="12.75">
      <c r="A224">
        <v>6.2</v>
      </c>
      <c r="B224">
        <v>6.41</v>
      </c>
      <c r="E224">
        <v>5.9</v>
      </c>
      <c r="F224">
        <v>5.6</v>
      </c>
    </row>
    <row r="225" spans="1:6" ht="12.75">
      <c r="A225">
        <v>6.2</v>
      </c>
      <c r="B225">
        <v>6.36</v>
      </c>
      <c r="E225">
        <v>5.89</v>
      </c>
      <c r="F225">
        <v>5.6</v>
      </c>
    </row>
    <row r="226" spans="1:6" ht="12.75">
      <c r="A226">
        <v>6.1</v>
      </c>
      <c r="B226">
        <v>6.3</v>
      </c>
      <c r="E226">
        <v>5.88</v>
      </c>
      <c r="F226">
        <v>5.6</v>
      </c>
    </row>
    <row r="227" spans="1:6" ht="12.75">
      <c r="A227">
        <v>6.1</v>
      </c>
      <c r="B227">
        <v>6.26</v>
      </c>
      <c r="E227">
        <v>5.86</v>
      </c>
      <c r="F227">
        <v>5.8</v>
      </c>
    </row>
    <row r="228" spans="1:6" ht="12.75">
      <c r="A228">
        <v>6</v>
      </c>
      <c r="B228">
        <v>6.2</v>
      </c>
      <c r="E228">
        <v>5.86</v>
      </c>
      <c r="F228">
        <v>5.7</v>
      </c>
    </row>
    <row r="229" spans="1:6" ht="12.75">
      <c r="A229">
        <v>5.9</v>
      </c>
      <c r="B229">
        <v>6.12</v>
      </c>
      <c r="E229">
        <v>5.85</v>
      </c>
      <c r="F229">
        <v>6</v>
      </c>
    </row>
    <row r="230" spans="1:6" ht="12.75">
      <c r="A230">
        <v>5.8</v>
      </c>
      <c r="B230">
        <v>6.06</v>
      </c>
      <c r="E230">
        <v>5.84</v>
      </c>
      <c r="F230">
        <v>5.8</v>
      </c>
    </row>
    <row r="231" spans="1:6" ht="12.75">
      <c r="A231">
        <v>5.8</v>
      </c>
      <c r="B231">
        <v>5.97</v>
      </c>
      <c r="E231">
        <v>5.83</v>
      </c>
      <c r="F231">
        <v>5.8</v>
      </c>
    </row>
    <row r="232" spans="1:6" ht="12.75">
      <c r="A232">
        <v>5.7</v>
      </c>
      <c r="B232">
        <v>5.91</v>
      </c>
      <c r="E232">
        <v>5.83</v>
      </c>
      <c r="F232">
        <v>5.8</v>
      </c>
    </row>
    <row r="233" spans="1:6" ht="12.75">
      <c r="A233">
        <v>5.5</v>
      </c>
      <c r="B233">
        <v>5.79</v>
      </c>
      <c r="E233">
        <v>5.83</v>
      </c>
      <c r="F233">
        <v>5.4</v>
      </c>
    </row>
    <row r="234" spans="1:6" ht="12.75">
      <c r="A234">
        <v>5.5</v>
      </c>
      <c r="B234">
        <v>5.68</v>
      </c>
      <c r="E234">
        <v>5.81</v>
      </c>
      <c r="F234">
        <v>5.8</v>
      </c>
    </row>
    <row r="235" spans="1:6" ht="12.75">
      <c r="A235">
        <v>5.2</v>
      </c>
      <c r="B235">
        <v>5.48</v>
      </c>
      <c r="E235">
        <v>5.81</v>
      </c>
      <c r="F235">
        <v>5.4</v>
      </c>
    </row>
    <row r="236" spans="1:6" ht="12.75">
      <c r="A236">
        <v>4.9</v>
      </c>
      <c r="B236">
        <v>5.15</v>
      </c>
      <c r="E236">
        <v>5.8</v>
      </c>
      <c r="F236">
        <v>5.8</v>
      </c>
    </row>
    <row r="237" spans="1:6" ht="12.75">
      <c r="A237">
        <v>4.2</v>
      </c>
      <c r="B237">
        <v>4.56</v>
      </c>
      <c r="E237">
        <v>5.8</v>
      </c>
      <c r="F237">
        <v>5.7</v>
      </c>
    </row>
    <row r="238" spans="1:6" ht="12.75">
      <c r="A238">
        <v>3.4</v>
      </c>
      <c r="B238">
        <v>4.03</v>
      </c>
      <c r="E238">
        <v>5.8</v>
      </c>
      <c r="F238">
        <v>5.7</v>
      </c>
    </row>
    <row r="239" spans="1:6" ht="12.75">
      <c r="A239">
        <v>3.1</v>
      </c>
      <c r="B239">
        <v>3.76</v>
      </c>
      <c r="E239">
        <v>5.8</v>
      </c>
      <c r="F239">
        <v>5.5</v>
      </c>
    </row>
    <row r="240" spans="1:6" ht="12.75">
      <c r="A240">
        <v>2.9</v>
      </c>
      <c r="B240">
        <v>3.58</v>
      </c>
      <c r="E240">
        <v>5.79</v>
      </c>
      <c r="F240">
        <v>5.5</v>
      </c>
    </row>
    <row r="241" spans="1:6" ht="12.75">
      <c r="A241">
        <v>2.7</v>
      </c>
      <c r="B241">
        <v>3.46</v>
      </c>
      <c r="E241">
        <v>5.79</v>
      </c>
      <c r="F241">
        <v>5.5</v>
      </c>
    </row>
    <row r="242" spans="1:6" ht="12.75">
      <c r="A242">
        <v>6.9</v>
      </c>
      <c r="B242">
        <v>6.97</v>
      </c>
      <c r="E242">
        <v>5.78</v>
      </c>
      <c r="F242">
        <v>5.7</v>
      </c>
    </row>
    <row r="243" spans="1:6" ht="12.75">
      <c r="A243">
        <v>6.8</v>
      </c>
      <c r="B243">
        <v>6.87</v>
      </c>
      <c r="E243">
        <v>5.78</v>
      </c>
      <c r="F243">
        <v>5.6</v>
      </c>
    </row>
    <row r="244" spans="1:6" ht="12.75">
      <c r="A244">
        <v>6.7</v>
      </c>
      <c r="B244">
        <v>6.81</v>
      </c>
      <c r="E244">
        <v>5.76</v>
      </c>
      <c r="F244">
        <v>5.6</v>
      </c>
    </row>
    <row r="245" spans="1:6" ht="12.75">
      <c r="A245">
        <v>6.7</v>
      </c>
      <c r="B245">
        <v>6.76</v>
      </c>
      <c r="E245">
        <v>5.74</v>
      </c>
      <c r="F245">
        <v>5.9</v>
      </c>
    </row>
    <row r="246" spans="1:6" ht="12.75">
      <c r="A246">
        <v>6.6</v>
      </c>
      <c r="B246">
        <v>6.68</v>
      </c>
      <c r="E246">
        <v>5.74</v>
      </c>
      <c r="F246">
        <v>5.7</v>
      </c>
    </row>
    <row r="247" spans="1:6" ht="12.75">
      <c r="A247">
        <v>6.5</v>
      </c>
      <c r="B247">
        <v>6.62</v>
      </c>
      <c r="E247">
        <v>5.71</v>
      </c>
      <c r="F247">
        <v>5.5</v>
      </c>
    </row>
    <row r="248" spans="1:6" ht="12.75">
      <c r="A248">
        <v>6.4</v>
      </c>
      <c r="B248">
        <v>6.55</v>
      </c>
      <c r="E248">
        <v>5.7</v>
      </c>
      <c r="F248">
        <v>5.9</v>
      </c>
    </row>
    <row r="249" spans="1:6" ht="12.75">
      <c r="A249">
        <v>6.4</v>
      </c>
      <c r="B249">
        <v>6.49</v>
      </c>
      <c r="E249">
        <v>5.7</v>
      </c>
      <c r="F249">
        <v>5.8</v>
      </c>
    </row>
    <row r="250" spans="1:6" ht="12.75">
      <c r="A250">
        <v>6.3</v>
      </c>
      <c r="B250">
        <v>6.42</v>
      </c>
      <c r="E250">
        <v>5.7</v>
      </c>
      <c r="F250">
        <v>5.8</v>
      </c>
    </row>
    <row r="251" spans="1:6" ht="12.75">
      <c r="A251">
        <v>6.3</v>
      </c>
      <c r="B251">
        <v>6.34</v>
      </c>
      <c r="E251">
        <v>5.7</v>
      </c>
      <c r="F251">
        <v>5.5</v>
      </c>
    </row>
    <row r="252" spans="1:6" ht="12.75">
      <c r="A252">
        <v>6.2</v>
      </c>
      <c r="B252">
        <v>6.32</v>
      </c>
      <c r="E252">
        <v>5.7</v>
      </c>
      <c r="F252">
        <v>5.5</v>
      </c>
    </row>
    <row r="253" spans="1:6" ht="12.75">
      <c r="A253">
        <v>6.1</v>
      </c>
      <c r="B253">
        <v>6.2</v>
      </c>
      <c r="E253">
        <v>5.69</v>
      </c>
      <c r="F253">
        <v>5.6</v>
      </c>
    </row>
    <row r="254" spans="1:6" ht="12.75">
      <c r="A254">
        <v>6</v>
      </c>
      <c r="B254">
        <v>6.02</v>
      </c>
      <c r="E254">
        <v>5.68</v>
      </c>
      <c r="F254">
        <v>5.6</v>
      </c>
    </row>
    <row r="255" spans="1:6" ht="12.75">
      <c r="A255">
        <v>6</v>
      </c>
      <c r="B255">
        <v>6</v>
      </c>
      <c r="E255">
        <v>5.68</v>
      </c>
      <c r="F255">
        <v>5.5</v>
      </c>
    </row>
    <row r="256" spans="1:6" ht="12.75">
      <c r="A256">
        <v>5.9</v>
      </c>
      <c r="B256">
        <v>5.98</v>
      </c>
      <c r="E256">
        <v>5.68</v>
      </c>
      <c r="F256">
        <v>5.5</v>
      </c>
    </row>
    <row r="257" spans="1:6" ht="12.75">
      <c r="A257">
        <v>5.8</v>
      </c>
      <c r="B257">
        <v>5.86</v>
      </c>
      <c r="E257">
        <v>5.68</v>
      </c>
      <c r="F257">
        <v>5.5</v>
      </c>
    </row>
    <row r="258" spans="1:6" ht="12.75">
      <c r="A258">
        <v>5.7</v>
      </c>
      <c r="B258">
        <v>5.78</v>
      </c>
      <c r="E258">
        <v>5.68</v>
      </c>
      <c r="F258">
        <v>5.5</v>
      </c>
    </row>
    <row r="259" spans="1:6" ht="12.75">
      <c r="A259">
        <v>5.6</v>
      </c>
      <c r="B259">
        <v>5.69</v>
      </c>
      <c r="E259">
        <v>5.65</v>
      </c>
      <c r="F259">
        <v>5.8</v>
      </c>
    </row>
    <row r="260" spans="1:6" ht="12.75">
      <c r="A260">
        <v>5.5</v>
      </c>
      <c r="B260">
        <v>5.55</v>
      </c>
      <c r="E260">
        <v>5.63</v>
      </c>
      <c r="F260">
        <v>5.6</v>
      </c>
    </row>
    <row r="261" spans="1:6" ht="12.75">
      <c r="A261">
        <v>5.3</v>
      </c>
      <c r="B261">
        <v>5.43</v>
      </c>
      <c r="E261">
        <v>5.62</v>
      </c>
      <c r="F261">
        <v>5.7</v>
      </c>
    </row>
    <row r="262" spans="1:6" ht="12.75">
      <c r="A262">
        <v>5</v>
      </c>
      <c r="B262">
        <v>5.16</v>
      </c>
      <c r="E262">
        <v>5.62</v>
      </c>
      <c r="F262">
        <v>5.6</v>
      </c>
    </row>
    <row r="263" spans="1:6" ht="12.75">
      <c r="A263">
        <v>4.4</v>
      </c>
      <c r="B263">
        <v>4.76</v>
      </c>
      <c r="E263">
        <v>5.61</v>
      </c>
      <c r="F263">
        <v>5.4</v>
      </c>
    </row>
    <row r="264" spans="1:6" ht="12.75">
      <c r="A264">
        <v>3.6</v>
      </c>
      <c r="B264">
        <v>4.11</v>
      </c>
      <c r="E264">
        <v>5.6</v>
      </c>
      <c r="F264">
        <v>5.7</v>
      </c>
    </row>
    <row r="265" spans="1:6" ht="12.75">
      <c r="A265">
        <v>3.2</v>
      </c>
      <c r="B265">
        <v>3.84</v>
      </c>
      <c r="E265">
        <v>5.6</v>
      </c>
      <c r="F265">
        <v>5.6</v>
      </c>
    </row>
    <row r="266" spans="1:6" ht="12.75">
      <c r="A266">
        <v>3</v>
      </c>
      <c r="B266">
        <v>3.66</v>
      </c>
      <c r="E266">
        <v>5.56</v>
      </c>
      <c r="F266">
        <v>5.5</v>
      </c>
    </row>
    <row r="267" spans="1:6" ht="12.75">
      <c r="A267">
        <v>2.8</v>
      </c>
      <c r="B267">
        <v>3.53</v>
      </c>
      <c r="E267">
        <v>5.56</v>
      </c>
      <c r="F267">
        <v>5.4</v>
      </c>
    </row>
    <row r="268" spans="1:6" ht="12.75">
      <c r="A268">
        <v>7</v>
      </c>
      <c r="B268">
        <v>7.56</v>
      </c>
      <c r="E268">
        <v>5.56</v>
      </c>
      <c r="F268">
        <v>5.2</v>
      </c>
    </row>
    <row r="269" spans="1:6" ht="12.75">
      <c r="A269">
        <v>6.6</v>
      </c>
      <c r="B269">
        <v>7.15</v>
      </c>
      <c r="E269">
        <v>5.55</v>
      </c>
      <c r="F269">
        <v>5.5</v>
      </c>
    </row>
    <row r="270" spans="1:6" ht="12.75">
      <c r="A270">
        <v>6.5</v>
      </c>
      <c r="B270">
        <v>6.65</v>
      </c>
      <c r="E270">
        <v>5.55</v>
      </c>
      <c r="F270">
        <v>5.3</v>
      </c>
    </row>
    <row r="271" spans="1:6" ht="12.75">
      <c r="A271">
        <v>6.5</v>
      </c>
      <c r="B271">
        <v>6.72</v>
      </c>
      <c r="E271">
        <v>5.53</v>
      </c>
      <c r="F271">
        <v>5.8</v>
      </c>
    </row>
    <row r="272" spans="1:6" ht="12.75">
      <c r="A272">
        <v>6.5</v>
      </c>
      <c r="B272">
        <v>6.49</v>
      </c>
      <c r="E272">
        <v>5.53</v>
      </c>
      <c r="F272">
        <v>5.7</v>
      </c>
    </row>
    <row r="273" spans="1:6" ht="12.75">
      <c r="A273">
        <v>6.4</v>
      </c>
      <c r="B273">
        <v>6.34</v>
      </c>
      <c r="E273">
        <v>5.53</v>
      </c>
      <c r="F273">
        <v>5.4</v>
      </c>
    </row>
    <row r="274" spans="1:6" ht="12.75">
      <c r="A274">
        <v>6.3</v>
      </c>
      <c r="B274">
        <v>6.35</v>
      </c>
      <c r="E274">
        <v>5.53</v>
      </c>
      <c r="F274">
        <v>5.2</v>
      </c>
    </row>
    <row r="275" spans="1:6" ht="12.75">
      <c r="A275">
        <v>6.2</v>
      </c>
      <c r="B275">
        <v>6.06</v>
      </c>
      <c r="E275">
        <v>5.52</v>
      </c>
      <c r="F275">
        <v>5.4</v>
      </c>
    </row>
    <row r="276" spans="1:6" ht="12.75">
      <c r="A276">
        <v>6.1</v>
      </c>
      <c r="B276">
        <v>5.96</v>
      </c>
      <c r="E276">
        <v>5.52</v>
      </c>
      <c r="F276">
        <v>5.4</v>
      </c>
    </row>
    <row r="277" spans="1:6" ht="12.75">
      <c r="A277">
        <v>5.9</v>
      </c>
      <c r="B277">
        <v>5.7</v>
      </c>
      <c r="E277">
        <v>5.5</v>
      </c>
      <c r="F277">
        <v>5.5</v>
      </c>
    </row>
    <row r="278" spans="1:6" ht="12.75">
      <c r="A278">
        <v>5.7</v>
      </c>
      <c r="B278">
        <v>5.53</v>
      </c>
      <c r="E278">
        <v>5.5</v>
      </c>
      <c r="F278">
        <v>5.5</v>
      </c>
    </row>
    <row r="279" spans="1:6" ht="12.75">
      <c r="A279">
        <v>5.2</v>
      </c>
      <c r="B279">
        <v>5.22</v>
      </c>
      <c r="E279">
        <v>5.48</v>
      </c>
      <c r="F279">
        <v>5.2</v>
      </c>
    </row>
    <row r="280" spans="1:6" ht="12.75">
      <c r="A280">
        <v>4.6</v>
      </c>
      <c r="B280">
        <v>4.7</v>
      </c>
      <c r="E280">
        <v>5.48</v>
      </c>
      <c r="F280">
        <v>5.2</v>
      </c>
    </row>
    <row r="281" spans="1:6" ht="12.75">
      <c r="A281">
        <v>4.2</v>
      </c>
      <c r="B281">
        <v>4.47</v>
      </c>
      <c r="E281">
        <v>5.47</v>
      </c>
      <c r="F281">
        <v>5.2</v>
      </c>
    </row>
    <row r="282" spans="1:6" ht="12.75">
      <c r="A282">
        <v>3.9</v>
      </c>
      <c r="B282">
        <v>4.11</v>
      </c>
      <c r="E282">
        <v>5.46</v>
      </c>
      <c r="F282">
        <v>5.4</v>
      </c>
    </row>
    <row r="283" spans="1:6" ht="12.75">
      <c r="A283">
        <v>3.5</v>
      </c>
      <c r="B283">
        <v>3.88</v>
      </c>
      <c r="E283">
        <v>5.45</v>
      </c>
      <c r="F283">
        <v>5.5</v>
      </c>
    </row>
    <row r="284" spans="1:6" ht="12.75">
      <c r="A284">
        <v>3.4</v>
      </c>
      <c r="B284">
        <v>3.8</v>
      </c>
      <c r="E284">
        <v>5.45</v>
      </c>
      <c r="F284">
        <v>5.3</v>
      </c>
    </row>
    <row r="285" spans="1:6" ht="12.75">
      <c r="A285">
        <v>3.2</v>
      </c>
      <c r="B285">
        <v>3.66</v>
      </c>
      <c r="E285">
        <v>5.43</v>
      </c>
      <c r="F285">
        <v>5.3</v>
      </c>
    </row>
    <row r="286" spans="1:6" ht="12.75">
      <c r="A286">
        <v>3.1</v>
      </c>
      <c r="B286">
        <v>3.57</v>
      </c>
      <c r="E286">
        <v>5.43</v>
      </c>
      <c r="F286">
        <v>5.2</v>
      </c>
    </row>
    <row r="287" spans="1:6" ht="12.75">
      <c r="A287">
        <v>2.9</v>
      </c>
      <c r="B287">
        <v>3.43</v>
      </c>
      <c r="E287">
        <v>5.41</v>
      </c>
      <c r="F287">
        <v>5</v>
      </c>
    </row>
    <row r="288" spans="1:6" ht="12.75">
      <c r="A288">
        <v>2.8</v>
      </c>
      <c r="B288">
        <v>3.34</v>
      </c>
      <c r="E288">
        <v>5.4</v>
      </c>
      <c r="F288">
        <v>5.1</v>
      </c>
    </row>
    <row r="289" spans="1:6" ht="12.75">
      <c r="A289">
        <v>6.8</v>
      </c>
      <c r="B289">
        <v>7.35</v>
      </c>
      <c r="E289">
        <v>5.4</v>
      </c>
      <c r="F289">
        <v>4.9</v>
      </c>
    </row>
    <row r="290" spans="1:6" ht="12.75">
      <c r="A290">
        <v>6.7</v>
      </c>
      <c r="B290">
        <v>6.88</v>
      </c>
      <c r="E290">
        <v>5.39</v>
      </c>
      <c r="F290">
        <v>5.4</v>
      </c>
    </row>
    <row r="291" spans="1:6" ht="12.75">
      <c r="A291">
        <v>6.5</v>
      </c>
      <c r="B291">
        <v>6.34</v>
      </c>
      <c r="E291">
        <v>5.39</v>
      </c>
      <c r="F291">
        <v>5.1</v>
      </c>
    </row>
    <row r="292" spans="1:6" ht="12.75">
      <c r="A292">
        <v>6.3</v>
      </c>
      <c r="B292">
        <v>6.04</v>
      </c>
      <c r="E292">
        <v>5.39</v>
      </c>
      <c r="F292">
        <v>5.1</v>
      </c>
    </row>
    <row r="293" spans="1:6" ht="12.75">
      <c r="A293">
        <v>5.7</v>
      </c>
      <c r="B293">
        <v>5.62</v>
      </c>
      <c r="E293">
        <v>5.38</v>
      </c>
      <c r="F293">
        <v>5</v>
      </c>
    </row>
    <row r="294" spans="1:6" ht="12.75">
      <c r="A294">
        <v>5.4</v>
      </c>
      <c r="B294">
        <v>5.28</v>
      </c>
      <c r="E294">
        <v>5.36</v>
      </c>
      <c r="F294">
        <v>5.4</v>
      </c>
    </row>
    <row r="295" spans="1:6" ht="12.75">
      <c r="A295">
        <v>4.9</v>
      </c>
      <c r="B295">
        <v>4.92</v>
      </c>
      <c r="E295">
        <v>5.36</v>
      </c>
      <c r="F295">
        <v>5.2</v>
      </c>
    </row>
    <row r="296" spans="1:6" ht="12.75">
      <c r="A296">
        <v>4.4</v>
      </c>
      <c r="B296">
        <v>4.54</v>
      </c>
      <c r="E296">
        <v>5.36</v>
      </c>
      <c r="F296">
        <v>5</v>
      </c>
    </row>
    <row r="297" spans="1:6" ht="12.75">
      <c r="A297">
        <v>4.2</v>
      </c>
      <c r="B297">
        <v>4.38</v>
      </c>
      <c r="E297">
        <v>5.35</v>
      </c>
      <c r="F297">
        <v>5.3</v>
      </c>
    </row>
    <row r="298" spans="1:6" ht="12.75">
      <c r="A298">
        <v>3.7</v>
      </c>
      <c r="B298">
        <v>4.02</v>
      </c>
      <c r="E298">
        <v>5.35</v>
      </c>
      <c r="F298">
        <v>5.1</v>
      </c>
    </row>
    <row r="299" spans="1:6" ht="12.75">
      <c r="A299">
        <v>3.6</v>
      </c>
      <c r="B299">
        <v>3.88</v>
      </c>
      <c r="E299">
        <v>5.34</v>
      </c>
      <c r="F299">
        <v>5.4</v>
      </c>
    </row>
    <row r="300" spans="1:6" ht="12.75">
      <c r="A300">
        <v>3.2</v>
      </c>
      <c r="B300">
        <v>3.67</v>
      </c>
      <c r="E300">
        <v>5.34</v>
      </c>
      <c r="F300">
        <v>5.2</v>
      </c>
    </row>
    <row r="301" spans="1:6" ht="12.75">
      <c r="A301">
        <v>3</v>
      </c>
      <c r="B301">
        <v>3.54</v>
      </c>
      <c r="E301">
        <v>5.3</v>
      </c>
      <c r="F301">
        <v>5.3</v>
      </c>
    </row>
    <row r="302" spans="1:6" ht="12.75">
      <c r="A302">
        <v>2.8</v>
      </c>
      <c r="B302">
        <v>3.4</v>
      </c>
      <c r="E302">
        <v>5.3</v>
      </c>
      <c r="F302">
        <v>5.3</v>
      </c>
    </row>
    <row r="303" spans="1:6" ht="12.75">
      <c r="A303">
        <v>2.7</v>
      </c>
      <c r="B303">
        <v>3.29</v>
      </c>
      <c r="E303">
        <v>5.3</v>
      </c>
      <c r="F303">
        <v>5.1</v>
      </c>
    </row>
    <row r="304" spans="1:6" ht="12.75">
      <c r="A304">
        <v>6.8</v>
      </c>
      <c r="B304">
        <v>7.43</v>
      </c>
      <c r="E304">
        <v>5.28</v>
      </c>
      <c r="F304">
        <v>5.4</v>
      </c>
    </row>
    <row r="305" spans="1:6" ht="12.75">
      <c r="A305">
        <v>6.7</v>
      </c>
      <c r="B305">
        <v>6.67</v>
      </c>
      <c r="E305">
        <v>5.28</v>
      </c>
      <c r="F305">
        <v>5.4</v>
      </c>
    </row>
    <row r="306" spans="1:6" ht="12.75">
      <c r="A306">
        <v>6.5</v>
      </c>
      <c r="B306">
        <v>6.42</v>
      </c>
      <c r="E306">
        <v>5.28</v>
      </c>
      <c r="F306">
        <v>5.1</v>
      </c>
    </row>
    <row r="307" spans="1:6" ht="12.75">
      <c r="A307">
        <v>6.2</v>
      </c>
      <c r="B307">
        <v>5.95</v>
      </c>
      <c r="E307">
        <v>5.27</v>
      </c>
      <c r="F307">
        <v>4.9</v>
      </c>
    </row>
    <row r="308" spans="1:6" ht="12.75">
      <c r="A308">
        <v>5.8</v>
      </c>
      <c r="B308">
        <v>5.53</v>
      </c>
      <c r="E308">
        <v>5.27</v>
      </c>
      <c r="F308">
        <v>4.9</v>
      </c>
    </row>
    <row r="309" spans="1:6" ht="12.75">
      <c r="A309">
        <v>5.4</v>
      </c>
      <c r="B309">
        <v>5.28</v>
      </c>
      <c r="E309">
        <v>5.22</v>
      </c>
      <c r="F309">
        <v>5.2</v>
      </c>
    </row>
    <row r="310" spans="1:6" ht="12.75">
      <c r="A310">
        <v>5.1</v>
      </c>
      <c r="B310">
        <v>5.12</v>
      </c>
      <c r="E310">
        <v>5.22</v>
      </c>
      <c r="F310">
        <v>5.2</v>
      </c>
    </row>
    <row r="311" spans="1:6" ht="12.75">
      <c r="A311">
        <v>4.7</v>
      </c>
      <c r="B311">
        <v>4.96</v>
      </c>
      <c r="E311">
        <v>5.21</v>
      </c>
      <c r="F311">
        <v>5.2</v>
      </c>
    </row>
    <row r="312" spans="1:6" ht="12.75">
      <c r="A312">
        <v>4.4</v>
      </c>
      <c r="B312">
        <v>4.61</v>
      </c>
      <c r="E312">
        <v>5.19</v>
      </c>
      <c r="F312">
        <v>5.1</v>
      </c>
    </row>
    <row r="313" spans="1:6" ht="12.75">
      <c r="A313">
        <v>4</v>
      </c>
      <c r="B313">
        <v>4.34</v>
      </c>
      <c r="E313">
        <v>5.18</v>
      </c>
      <c r="F313">
        <v>5.2</v>
      </c>
    </row>
    <row r="314" spans="1:6" ht="12.75">
      <c r="A314">
        <v>3.7</v>
      </c>
      <c r="B314">
        <v>4.05</v>
      </c>
      <c r="E314">
        <v>5.17</v>
      </c>
      <c r="F314">
        <v>4.9</v>
      </c>
    </row>
    <row r="315" spans="1:6" ht="12.75">
      <c r="A315">
        <v>3.5</v>
      </c>
      <c r="B315">
        <v>3.89</v>
      </c>
      <c r="E315">
        <v>5.16</v>
      </c>
      <c r="F315">
        <v>5.1</v>
      </c>
    </row>
    <row r="316" spans="1:6" ht="12.75">
      <c r="A316">
        <v>3.3</v>
      </c>
      <c r="B316">
        <v>3.76</v>
      </c>
      <c r="E316">
        <v>5.16</v>
      </c>
      <c r="F316">
        <v>5</v>
      </c>
    </row>
    <row r="317" spans="1:6" ht="12.75">
      <c r="A317">
        <v>3.2</v>
      </c>
      <c r="B317">
        <v>3.66</v>
      </c>
      <c r="E317">
        <v>5.15</v>
      </c>
      <c r="F317">
        <v>5.1</v>
      </c>
    </row>
    <row r="318" spans="1:6" ht="12.75">
      <c r="A318">
        <v>3</v>
      </c>
      <c r="B318">
        <v>3.52</v>
      </c>
      <c r="E318">
        <v>5.15</v>
      </c>
      <c r="F318">
        <v>4.9</v>
      </c>
    </row>
    <row r="319" spans="1:6" ht="12.75">
      <c r="A319">
        <v>2.8</v>
      </c>
      <c r="B319">
        <v>3.39</v>
      </c>
      <c r="E319">
        <v>5.15</v>
      </c>
      <c r="F319">
        <v>4.9</v>
      </c>
    </row>
    <row r="320" spans="1:6" ht="12.75">
      <c r="A320">
        <v>2.7</v>
      </c>
      <c r="B320">
        <v>3.29</v>
      </c>
      <c r="E320">
        <v>5.15</v>
      </c>
      <c r="F320">
        <v>4.8</v>
      </c>
    </row>
    <row r="321" spans="1:6" ht="12.75">
      <c r="A321">
        <v>6.7</v>
      </c>
      <c r="B321">
        <v>6.89</v>
      </c>
      <c r="E321">
        <v>5.13</v>
      </c>
      <c r="F321">
        <v>4.7</v>
      </c>
    </row>
    <row r="322" spans="1:6" ht="12.75">
      <c r="A322">
        <v>6.6</v>
      </c>
      <c r="B322">
        <v>6.73</v>
      </c>
      <c r="E322">
        <v>5.12</v>
      </c>
      <c r="F322">
        <v>5.1</v>
      </c>
    </row>
    <row r="323" spans="1:6" ht="12.75">
      <c r="A323">
        <v>6.5</v>
      </c>
      <c r="B323">
        <v>6.58</v>
      </c>
      <c r="E323">
        <v>5.12</v>
      </c>
      <c r="F323">
        <v>4.9</v>
      </c>
    </row>
    <row r="324" spans="1:6" ht="12.75">
      <c r="A324">
        <v>6.4</v>
      </c>
      <c r="B324">
        <v>6.44</v>
      </c>
      <c r="E324">
        <v>5.12</v>
      </c>
      <c r="F324">
        <v>4.8</v>
      </c>
    </row>
    <row r="325" spans="1:6" ht="12.75">
      <c r="A325">
        <v>6.3</v>
      </c>
      <c r="B325">
        <v>6.3</v>
      </c>
      <c r="E325">
        <v>5.1</v>
      </c>
      <c r="F325">
        <v>4.8</v>
      </c>
    </row>
    <row r="326" spans="1:6" ht="12.75">
      <c r="A326">
        <v>6.2</v>
      </c>
      <c r="B326">
        <v>6.18</v>
      </c>
      <c r="E326">
        <v>5.09</v>
      </c>
      <c r="F326">
        <v>4.8</v>
      </c>
    </row>
    <row r="327" spans="1:6" ht="12.75">
      <c r="A327">
        <v>6</v>
      </c>
      <c r="B327">
        <v>6</v>
      </c>
      <c r="E327">
        <v>5.09</v>
      </c>
      <c r="F327">
        <v>4.7</v>
      </c>
    </row>
    <row r="328" spans="1:6" ht="12.75">
      <c r="A328">
        <v>5.8</v>
      </c>
      <c r="B328">
        <v>5.83</v>
      </c>
      <c r="E328">
        <v>5.08</v>
      </c>
      <c r="F328">
        <v>5.1</v>
      </c>
    </row>
    <row r="329" spans="1:6" ht="12.75">
      <c r="A329">
        <v>5.6</v>
      </c>
      <c r="B329">
        <v>5.68</v>
      </c>
      <c r="E329">
        <v>5.08</v>
      </c>
      <c r="F329">
        <v>4.9</v>
      </c>
    </row>
    <row r="330" spans="1:6" ht="12.75">
      <c r="A330">
        <v>5.3</v>
      </c>
      <c r="B330">
        <v>5.45</v>
      </c>
      <c r="E330">
        <v>5.01</v>
      </c>
      <c r="F330">
        <v>4.9</v>
      </c>
    </row>
    <row r="331" spans="1:6" ht="12.75">
      <c r="A331">
        <v>4.9</v>
      </c>
      <c r="B331">
        <v>5.17</v>
      </c>
      <c r="E331">
        <v>4.99</v>
      </c>
      <c r="F331">
        <v>4.9</v>
      </c>
    </row>
    <row r="332" spans="1:6" ht="12.75">
      <c r="A332">
        <v>4.4</v>
      </c>
      <c r="B332">
        <v>4.66</v>
      </c>
      <c r="E332">
        <v>4.99</v>
      </c>
      <c r="F332">
        <v>4.8</v>
      </c>
    </row>
    <row r="333" spans="1:6" ht="12.75">
      <c r="A333">
        <v>4.1</v>
      </c>
      <c r="B333">
        <v>4.48</v>
      </c>
      <c r="E333">
        <v>4.98</v>
      </c>
      <c r="F333">
        <v>4.9</v>
      </c>
    </row>
    <row r="334" spans="1:6" ht="12.75">
      <c r="A334">
        <v>3.8</v>
      </c>
      <c r="B334">
        <v>4.24</v>
      </c>
      <c r="E334">
        <v>4.97</v>
      </c>
      <c r="F334">
        <v>4.9</v>
      </c>
    </row>
    <row r="335" spans="1:6" ht="12.75">
      <c r="A335">
        <v>3.5</v>
      </c>
      <c r="B335">
        <v>4.03</v>
      </c>
      <c r="E335">
        <v>4.97</v>
      </c>
      <c r="F335">
        <v>4.8</v>
      </c>
    </row>
    <row r="336" spans="1:6" ht="12.75">
      <c r="A336">
        <v>3.4</v>
      </c>
      <c r="B336">
        <v>3.92</v>
      </c>
      <c r="E336">
        <v>4.96</v>
      </c>
      <c r="F336">
        <v>4.9</v>
      </c>
    </row>
    <row r="337" spans="1:6" ht="12.75">
      <c r="A337">
        <v>3.2</v>
      </c>
      <c r="B337">
        <v>3.8</v>
      </c>
      <c r="E337">
        <v>4.96</v>
      </c>
      <c r="F337">
        <v>4.7</v>
      </c>
    </row>
    <row r="338" spans="1:6" ht="12.75">
      <c r="A338">
        <v>3.1</v>
      </c>
      <c r="B338">
        <v>3.73</v>
      </c>
      <c r="E338">
        <v>4.92</v>
      </c>
      <c r="F338">
        <v>4.9</v>
      </c>
    </row>
    <row r="339" spans="1:6" ht="12.75">
      <c r="A339">
        <v>3</v>
      </c>
      <c r="B339">
        <v>3.62</v>
      </c>
      <c r="E339">
        <v>4.9</v>
      </c>
      <c r="F339">
        <v>4.7</v>
      </c>
    </row>
    <row r="340" spans="1:6" ht="12.75">
      <c r="A340">
        <v>2.9</v>
      </c>
      <c r="B340">
        <v>3.55</v>
      </c>
      <c r="E340">
        <v>4.88</v>
      </c>
      <c r="F340">
        <v>4.8</v>
      </c>
    </row>
    <row r="341" spans="1:6" ht="12.75">
      <c r="A341">
        <v>2.7</v>
      </c>
      <c r="B341">
        <v>3.42</v>
      </c>
      <c r="E341">
        <v>4.86</v>
      </c>
      <c r="F341">
        <v>4.6</v>
      </c>
    </row>
    <row r="342" spans="1:6" ht="12.75">
      <c r="A342">
        <v>6.6</v>
      </c>
      <c r="B342">
        <v>6.7</v>
      </c>
      <c r="E342">
        <v>4.85</v>
      </c>
      <c r="F342">
        <v>4.7</v>
      </c>
    </row>
    <row r="343" spans="1:6" ht="12.75">
      <c r="A343">
        <v>6.4</v>
      </c>
      <c r="B343">
        <v>6.32</v>
      </c>
      <c r="E343">
        <v>4.83</v>
      </c>
      <c r="F343">
        <v>4.3</v>
      </c>
    </row>
    <row r="344" spans="1:6" ht="12.75">
      <c r="A344">
        <v>6.2</v>
      </c>
      <c r="B344">
        <v>6.06</v>
      </c>
      <c r="E344">
        <v>4.81</v>
      </c>
      <c r="F344">
        <v>4.7</v>
      </c>
    </row>
    <row r="345" spans="1:6" ht="12.75">
      <c r="A345">
        <v>5.7</v>
      </c>
      <c r="B345">
        <v>5.6</v>
      </c>
      <c r="E345">
        <v>4.8</v>
      </c>
      <c r="F345">
        <v>4.6</v>
      </c>
    </row>
    <row r="346" spans="1:6" ht="12.75">
      <c r="A346">
        <v>5.4</v>
      </c>
      <c r="B346">
        <v>5.39</v>
      </c>
      <c r="E346">
        <v>4.8</v>
      </c>
      <c r="F346">
        <v>4.3</v>
      </c>
    </row>
    <row r="347" spans="1:6" ht="12.75">
      <c r="A347">
        <v>5.1</v>
      </c>
      <c r="B347">
        <v>5.08</v>
      </c>
      <c r="E347">
        <v>4.77</v>
      </c>
      <c r="F347">
        <v>4.5</v>
      </c>
    </row>
    <row r="348" spans="1:6" ht="12.75">
      <c r="A348">
        <v>4.7</v>
      </c>
      <c r="B348">
        <v>4.85</v>
      </c>
      <c r="E348">
        <v>4.76</v>
      </c>
      <c r="F348">
        <v>4.4</v>
      </c>
    </row>
    <row r="349" spans="1:6" ht="12.75">
      <c r="A349">
        <v>4.4</v>
      </c>
      <c r="B349">
        <v>4.6</v>
      </c>
      <c r="E349">
        <v>4.75</v>
      </c>
      <c r="F349">
        <v>4.6</v>
      </c>
    </row>
    <row r="350" spans="1:6" ht="12.75">
      <c r="A350">
        <v>4</v>
      </c>
      <c r="B350">
        <v>4.33</v>
      </c>
      <c r="E350">
        <v>4.74</v>
      </c>
      <c r="F350">
        <v>4.5</v>
      </c>
    </row>
    <row r="351" spans="1:6" ht="12.75">
      <c r="A351">
        <v>3.8</v>
      </c>
      <c r="B351">
        <v>4.2</v>
      </c>
      <c r="E351">
        <v>4.74</v>
      </c>
      <c r="F351">
        <v>4.4</v>
      </c>
    </row>
    <row r="352" spans="1:6" ht="12.75">
      <c r="A352">
        <v>3.5</v>
      </c>
      <c r="B352">
        <v>4.04</v>
      </c>
      <c r="E352">
        <v>4.73</v>
      </c>
      <c r="F352">
        <v>4.3</v>
      </c>
    </row>
    <row r="353" spans="1:6" ht="12.75">
      <c r="A353">
        <v>3.4</v>
      </c>
      <c r="B353">
        <v>3.91</v>
      </c>
      <c r="E353">
        <v>4.7</v>
      </c>
      <c r="F353">
        <v>4.6</v>
      </c>
    </row>
    <row r="354" spans="1:6" ht="12.75">
      <c r="A354">
        <v>3.3</v>
      </c>
      <c r="B354">
        <v>3.76</v>
      </c>
      <c r="E354">
        <v>4.7</v>
      </c>
      <c r="F354">
        <v>4.3</v>
      </c>
    </row>
    <row r="355" spans="1:6" ht="12.75">
      <c r="A355">
        <v>3</v>
      </c>
      <c r="B355">
        <v>3.7</v>
      </c>
      <c r="E355">
        <v>4.69</v>
      </c>
      <c r="F355">
        <v>4.4</v>
      </c>
    </row>
    <row r="356" spans="1:6" ht="12.75">
      <c r="A356">
        <v>2.9</v>
      </c>
      <c r="B356">
        <v>3.58</v>
      </c>
      <c r="E356">
        <v>4.68</v>
      </c>
      <c r="F356">
        <v>4.2</v>
      </c>
    </row>
    <row r="357" spans="1:6" ht="12.75">
      <c r="A357">
        <v>2.7</v>
      </c>
      <c r="B357">
        <v>3.46</v>
      </c>
      <c r="E357">
        <v>4.67</v>
      </c>
      <c r="F357">
        <v>4.2</v>
      </c>
    </row>
    <row r="358" spans="1:6" ht="12.75">
      <c r="A358">
        <v>2.6</v>
      </c>
      <c r="B358">
        <v>3.36</v>
      </c>
      <c r="E358">
        <v>4.66</v>
      </c>
      <c r="F358">
        <v>4.4</v>
      </c>
    </row>
    <row r="359" spans="1:6" ht="12.75">
      <c r="A359">
        <v>6.6</v>
      </c>
      <c r="B359">
        <v>6.57</v>
      </c>
      <c r="E359">
        <v>4.61</v>
      </c>
      <c r="F359">
        <v>4.4</v>
      </c>
    </row>
    <row r="360" spans="1:6" ht="12.75">
      <c r="A360">
        <v>6.4</v>
      </c>
      <c r="B360">
        <v>6.3</v>
      </c>
      <c r="E360">
        <v>4.6</v>
      </c>
      <c r="F360">
        <v>4.4</v>
      </c>
    </row>
    <row r="361" spans="1:6" ht="12.75">
      <c r="A361">
        <v>6.1</v>
      </c>
      <c r="B361">
        <v>6.04</v>
      </c>
      <c r="E361">
        <v>4.6</v>
      </c>
      <c r="F361">
        <v>4.4</v>
      </c>
    </row>
    <row r="362" spans="1:6" ht="12.75">
      <c r="A362">
        <v>5.8</v>
      </c>
      <c r="B362">
        <v>5.65</v>
      </c>
      <c r="E362">
        <v>4.6</v>
      </c>
      <c r="F362">
        <v>4.3</v>
      </c>
    </row>
    <row r="363" spans="1:6" ht="12.75">
      <c r="A363">
        <v>5.2</v>
      </c>
      <c r="B363">
        <v>5.21</v>
      </c>
      <c r="E363">
        <v>4.59</v>
      </c>
      <c r="F363">
        <v>4.3</v>
      </c>
    </row>
    <row r="364" spans="1:6" ht="12.75">
      <c r="A364">
        <v>4.9</v>
      </c>
      <c r="B364">
        <v>5.01</v>
      </c>
      <c r="E364">
        <v>4.57</v>
      </c>
      <c r="F364">
        <v>4</v>
      </c>
    </row>
    <row r="365" spans="1:6" ht="12.75">
      <c r="A365">
        <v>4.6</v>
      </c>
      <c r="B365">
        <v>4.75</v>
      </c>
      <c r="E365">
        <v>4.56</v>
      </c>
      <c r="F365">
        <v>4.2</v>
      </c>
    </row>
    <row r="366" spans="1:6" ht="12.75">
      <c r="A366">
        <v>4.2</v>
      </c>
      <c r="B366">
        <v>4.53</v>
      </c>
      <c r="E366">
        <v>4.56</v>
      </c>
      <c r="F366">
        <v>4.2</v>
      </c>
    </row>
    <row r="367" spans="1:6" ht="12.75">
      <c r="A367">
        <v>3.9</v>
      </c>
      <c r="B367">
        <v>4.3</v>
      </c>
      <c r="E367">
        <v>4.55</v>
      </c>
      <c r="F367">
        <v>4.4</v>
      </c>
    </row>
    <row r="368" spans="1:6" ht="12.75">
      <c r="A368">
        <v>3.7</v>
      </c>
      <c r="B368">
        <v>4.16</v>
      </c>
      <c r="E368">
        <v>4.54</v>
      </c>
      <c r="F368">
        <v>4.4</v>
      </c>
    </row>
    <row r="369" spans="1:6" ht="12.75">
      <c r="A369">
        <v>3.5</v>
      </c>
      <c r="B369">
        <v>3.97</v>
      </c>
      <c r="E369">
        <v>4.53</v>
      </c>
      <c r="F369">
        <v>4.2</v>
      </c>
    </row>
    <row r="370" spans="1:6" ht="12.75">
      <c r="A370">
        <v>3.3</v>
      </c>
      <c r="B370">
        <v>3.83</v>
      </c>
      <c r="E370">
        <v>4.51</v>
      </c>
      <c r="F370">
        <v>4.2</v>
      </c>
    </row>
    <row r="371" spans="1:6" ht="12.75">
      <c r="A371">
        <v>3</v>
      </c>
      <c r="B371">
        <v>3.7</v>
      </c>
      <c r="E371">
        <v>4.5</v>
      </c>
      <c r="F371">
        <v>4.1</v>
      </c>
    </row>
    <row r="372" spans="1:6" ht="12.75">
      <c r="A372">
        <v>2.9</v>
      </c>
      <c r="B372">
        <v>3.53</v>
      </c>
      <c r="E372">
        <v>4.48</v>
      </c>
      <c r="F372">
        <v>4.2</v>
      </c>
    </row>
    <row r="373" spans="1:6" ht="12.75">
      <c r="A373">
        <v>2.7</v>
      </c>
      <c r="B373">
        <v>3.41</v>
      </c>
      <c r="E373">
        <v>4.48</v>
      </c>
      <c r="F373">
        <v>4.1</v>
      </c>
    </row>
    <row r="374" spans="1:6" ht="12.75">
      <c r="A374">
        <v>2.6</v>
      </c>
      <c r="B374">
        <v>3.33</v>
      </c>
      <c r="E374">
        <v>4.47</v>
      </c>
      <c r="F374">
        <v>4.2</v>
      </c>
    </row>
    <row r="375" spans="1:6" ht="12.75">
      <c r="A375">
        <v>6.8</v>
      </c>
      <c r="B375">
        <v>7.06</v>
      </c>
      <c r="E375">
        <v>4.443</v>
      </c>
      <c r="F375">
        <v>4.1</v>
      </c>
    </row>
    <row r="376" spans="1:6" ht="12.75">
      <c r="A376">
        <v>6.7</v>
      </c>
      <c r="B376">
        <v>6.82</v>
      </c>
      <c r="E376">
        <v>4.43</v>
      </c>
      <c r="F376">
        <v>4.1</v>
      </c>
    </row>
    <row r="377" spans="1:6" ht="12.75">
      <c r="A377">
        <v>6.6</v>
      </c>
      <c r="B377">
        <v>6.71</v>
      </c>
      <c r="E377">
        <v>4.43</v>
      </c>
      <c r="F377">
        <v>3.8</v>
      </c>
    </row>
    <row r="378" spans="1:6" ht="12.75">
      <c r="A378">
        <v>6.5</v>
      </c>
      <c r="B378">
        <v>6.56</v>
      </c>
      <c r="E378">
        <v>4.42</v>
      </c>
      <c r="F378">
        <v>4.1</v>
      </c>
    </row>
    <row r="379" spans="1:6" ht="12.75">
      <c r="A379">
        <v>6.4</v>
      </c>
      <c r="B379">
        <v>6.34</v>
      </c>
      <c r="E379">
        <v>4.4</v>
      </c>
      <c r="F379">
        <v>4.2</v>
      </c>
    </row>
    <row r="380" spans="1:6" ht="12.75">
      <c r="A380">
        <v>6.3</v>
      </c>
      <c r="B380">
        <v>6.2</v>
      </c>
      <c r="E380">
        <v>4.38</v>
      </c>
      <c r="F380">
        <v>4.2</v>
      </c>
    </row>
    <row r="381" spans="1:6" ht="12.75">
      <c r="A381">
        <v>6.1</v>
      </c>
      <c r="B381">
        <v>6.02</v>
      </c>
      <c r="E381">
        <v>4.34</v>
      </c>
      <c r="F381">
        <v>4</v>
      </c>
    </row>
    <row r="382" spans="1:6" ht="12.75">
      <c r="A382">
        <v>6</v>
      </c>
      <c r="B382">
        <v>5.85</v>
      </c>
      <c r="E382">
        <v>4.34</v>
      </c>
      <c r="F382">
        <v>4</v>
      </c>
    </row>
    <row r="383" spans="1:6" ht="12.75">
      <c r="A383">
        <v>5.8</v>
      </c>
      <c r="B383">
        <v>5.7</v>
      </c>
      <c r="E383">
        <v>4.34</v>
      </c>
      <c r="F383">
        <v>3.8</v>
      </c>
    </row>
    <row r="384" spans="1:6" ht="12.75">
      <c r="A384">
        <v>5.4</v>
      </c>
      <c r="B384">
        <v>5.34</v>
      </c>
      <c r="E384">
        <v>4.33</v>
      </c>
      <c r="F384">
        <v>4</v>
      </c>
    </row>
    <row r="385" spans="1:6" ht="12.75">
      <c r="A385">
        <v>4.9</v>
      </c>
      <c r="B385">
        <v>4.97</v>
      </c>
      <c r="E385">
        <v>4.31</v>
      </c>
      <c r="F385">
        <v>3.9</v>
      </c>
    </row>
    <row r="386" spans="1:6" ht="12.75">
      <c r="A386">
        <v>4.2</v>
      </c>
      <c r="B386">
        <v>4.4</v>
      </c>
      <c r="E386">
        <v>4.3</v>
      </c>
      <c r="F386">
        <v>3.9</v>
      </c>
    </row>
    <row r="387" spans="1:6" ht="12.75">
      <c r="A387">
        <v>3.6</v>
      </c>
      <c r="B387">
        <v>4.01</v>
      </c>
      <c r="E387">
        <v>4.3</v>
      </c>
      <c r="F387">
        <v>3.7</v>
      </c>
    </row>
    <row r="388" spans="1:6" ht="12.75">
      <c r="A388">
        <v>3.3</v>
      </c>
      <c r="B388">
        <v>3.74</v>
      </c>
      <c r="E388">
        <v>4.29</v>
      </c>
      <c r="F388">
        <v>4</v>
      </c>
    </row>
    <row r="389" spans="1:6" ht="12.75">
      <c r="A389">
        <v>3</v>
      </c>
      <c r="B389">
        <v>3.56</v>
      </c>
      <c r="E389">
        <v>4.28</v>
      </c>
      <c r="F389">
        <v>4</v>
      </c>
    </row>
    <row r="390" spans="1:6" ht="12.75">
      <c r="A390">
        <v>2.9</v>
      </c>
      <c r="B390">
        <v>3.43</v>
      </c>
      <c r="E390">
        <v>4.27</v>
      </c>
      <c r="F390">
        <v>3.4</v>
      </c>
    </row>
    <row r="391" spans="1:6" ht="12.75">
      <c r="A391">
        <v>6.8</v>
      </c>
      <c r="B391">
        <v>7.06</v>
      </c>
      <c r="E391">
        <v>4.25</v>
      </c>
      <c r="F391">
        <v>3.9</v>
      </c>
    </row>
    <row r="392" spans="1:6" ht="12.75">
      <c r="A392">
        <v>6.6</v>
      </c>
      <c r="B392">
        <v>6.76</v>
      </c>
      <c r="E392">
        <v>4.25</v>
      </c>
      <c r="F392">
        <v>3.7</v>
      </c>
    </row>
    <row r="393" spans="1:6" ht="12.75">
      <c r="A393">
        <v>6.3</v>
      </c>
      <c r="B393">
        <v>6.26</v>
      </c>
      <c r="E393">
        <v>4.24</v>
      </c>
      <c r="F393">
        <v>3.8</v>
      </c>
    </row>
    <row r="394" spans="1:6" ht="12.75">
      <c r="A394">
        <v>5.8</v>
      </c>
      <c r="B394">
        <v>5.83</v>
      </c>
      <c r="E394">
        <v>4.2</v>
      </c>
      <c r="F394">
        <v>3.9</v>
      </c>
    </row>
    <row r="395" spans="1:6" ht="12.75">
      <c r="A395">
        <v>5.8</v>
      </c>
      <c r="B395">
        <v>5.7</v>
      </c>
      <c r="E395">
        <v>4.2</v>
      </c>
      <c r="F395">
        <v>3.8</v>
      </c>
    </row>
    <row r="396" spans="1:6" ht="12.75">
      <c r="A396">
        <v>5.6</v>
      </c>
      <c r="B396">
        <v>5.6</v>
      </c>
      <c r="E396">
        <v>4.19</v>
      </c>
      <c r="F396">
        <v>3.8</v>
      </c>
    </row>
    <row r="397" spans="1:6" ht="12.75">
      <c r="A397">
        <v>5.5</v>
      </c>
      <c r="B397">
        <v>5.5</v>
      </c>
      <c r="E397">
        <v>4.17</v>
      </c>
      <c r="F397">
        <v>3.9</v>
      </c>
    </row>
    <row r="398" spans="1:6" ht="12.75">
      <c r="A398">
        <v>5.3</v>
      </c>
      <c r="B398">
        <v>5.3</v>
      </c>
      <c r="E398">
        <v>4.16</v>
      </c>
      <c r="F398">
        <v>3.7</v>
      </c>
    </row>
    <row r="399" spans="1:6" ht="12.75">
      <c r="A399">
        <v>5.2</v>
      </c>
      <c r="B399">
        <v>5.18</v>
      </c>
      <c r="E399">
        <v>4.16</v>
      </c>
      <c r="F399">
        <v>3.7</v>
      </c>
    </row>
    <row r="400" spans="1:6" ht="12.75">
      <c r="A400">
        <v>4.8</v>
      </c>
      <c r="B400">
        <v>4.88</v>
      </c>
      <c r="E400">
        <v>4.13</v>
      </c>
      <c r="F400">
        <v>3.8</v>
      </c>
    </row>
    <row r="401" spans="1:6" ht="12.75">
      <c r="A401">
        <v>4.4</v>
      </c>
      <c r="B401">
        <v>4.6</v>
      </c>
      <c r="E401">
        <v>4.13</v>
      </c>
      <c r="F401">
        <v>3.4</v>
      </c>
    </row>
    <row r="402" spans="1:6" ht="12.75">
      <c r="A402">
        <v>4.1</v>
      </c>
      <c r="B402">
        <v>4.42</v>
      </c>
      <c r="E402">
        <v>4.11</v>
      </c>
      <c r="F402">
        <v>3.9</v>
      </c>
    </row>
    <row r="403" spans="1:6" ht="12.75">
      <c r="A403">
        <v>3.9</v>
      </c>
      <c r="B403">
        <v>4.17</v>
      </c>
      <c r="E403">
        <v>4.11</v>
      </c>
      <c r="F403">
        <v>3.6</v>
      </c>
    </row>
    <row r="404" spans="1:6" ht="12.75">
      <c r="A404">
        <v>3.5</v>
      </c>
      <c r="B404">
        <v>3.95</v>
      </c>
      <c r="E404">
        <v>4.07</v>
      </c>
      <c r="F404">
        <v>3.6</v>
      </c>
    </row>
    <row r="405" spans="1:6" ht="12.75">
      <c r="A405">
        <v>3.3</v>
      </c>
      <c r="B405">
        <v>3.84</v>
      </c>
      <c r="E405">
        <v>4.06</v>
      </c>
      <c r="F405">
        <v>3.7</v>
      </c>
    </row>
    <row r="406" spans="1:6" ht="12.75">
      <c r="A406">
        <v>3.1</v>
      </c>
      <c r="B406">
        <v>3.64</v>
      </c>
      <c r="E406">
        <v>4.05</v>
      </c>
      <c r="F406">
        <v>3.7</v>
      </c>
    </row>
    <row r="407" spans="1:6" ht="12.75">
      <c r="A407">
        <v>2.9</v>
      </c>
      <c r="B407">
        <v>3.5</v>
      </c>
      <c r="E407">
        <v>4.04</v>
      </c>
      <c r="F407">
        <v>3.7</v>
      </c>
    </row>
    <row r="408" spans="1:6" ht="12.75">
      <c r="A408">
        <v>6.8</v>
      </c>
      <c r="B408">
        <v>7.06</v>
      </c>
      <c r="E408">
        <v>4.04</v>
      </c>
      <c r="F408">
        <v>3.5</v>
      </c>
    </row>
    <row r="409" spans="1:6" ht="12.75">
      <c r="A409">
        <v>6.7</v>
      </c>
      <c r="B409">
        <v>6.71</v>
      </c>
      <c r="E409">
        <v>4.03</v>
      </c>
      <c r="F409">
        <v>3.5</v>
      </c>
    </row>
    <row r="410" spans="1:6" ht="12.75">
      <c r="A410">
        <v>6.4</v>
      </c>
      <c r="B410">
        <v>6.18</v>
      </c>
      <c r="E410">
        <v>4.03</v>
      </c>
      <c r="F410">
        <v>3.4</v>
      </c>
    </row>
    <row r="411" spans="1:6" ht="12.75">
      <c r="A411">
        <v>5.9</v>
      </c>
      <c r="B411">
        <v>5.74</v>
      </c>
      <c r="E411">
        <v>4.03</v>
      </c>
      <c r="F411">
        <v>3.4</v>
      </c>
    </row>
    <row r="412" spans="1:6" ht="12.75">
      <c r="A412">
        <v>5.5</v>
      </c>
      <c r="B412">
        <v>5.45</v>
      </c>
      <c r="E412">
        <v>4.02</v>
      </c>
      <c r="F412">
        <v>3.7</v>
      </c>
    </row>
    <row r="413" spans="1:6" ht="12.75">
      <c r="A413">
        <v>5.4</v>
      </c>
      <c r="B413">
        <v>5.36</v>
      </c>
      <c r="E413">
        <v>4.02</v>
      </c>
      <c r="F413">
        <v>3.5</v>
      </c>
    </row>
    <row r="414" spans="1:6" ht="12.75">
      <c r="A414">
        <v>5.2</v>
      </c>
      <c r="B414">
        <v>5.22</v>
      </c>
      <c r="E414">
        <v>4.01</v>
      </c>
      <c r="F414">
        <v>3.6</v>
      </c>
    </row>
    <row r="415" spans="1:6" ht="12.75">
      <c r="A415">
        <v>4.9</v>
      </c>
      <c r="B415">
        <v>4.96</v>
      </c>
      <c r="E415">
        <v>4.01</v>
      </c>
      <c r="F415">
        <v>3.3</v>
      </c>
    </row>
    <row r="416" spans="1:6" ht="12.75">
      <c r="A416">
        <v>4.6</v>
      </c>
      <c r="B416">
        <v>4.8</v>
      </c>
      <c r="E416">
        <v>4</v>
      </c>
      <c r="F416">
        <v>3.5</v>
      </c>
    </row>
    <row r="417" spans="1:6" ht="12.75">
      <c r="A417">
        <v>4.2</v>
      </c>
      <c r="B417">
        <v>4.48</v>
      </c>
      <c r="E417">
        <v>3.98</v>
      </c>
      <c r="F417">
        <v>3.4</v>
      </c>
    </row>
    <row r="418" spans="1:6" ht="12.75">
      <c r="A418">
        <v>3.9</v>
      </c>
      <c r="B418">
        <v>4.2</v>
      </c>
      <c r="E418">
        <v>3.97</v>
      </c>
      <c r="F418">
        <v>3.5</v>
      </c>
    </row>
    <row r="419" spans="1:6" ht="12.75">
      <c r="A419">
        <v>3.7</v>
      </c>
      <c r="B419">
        <v>4.04</v>
      </c>
      <c r="E419">
        <v>3.96</v>
      </c>
      <c r="F419">
        <v>3.4</v>
      </c>
    </row>
    <row r="420" spans="1:6" ht="12.75">
      <c r="A420">
        <v>3.4</v>
      </c>
      <c r="B420">
        <v>3.94</v>
      </c>
      <c r="E420">
        <v>3.96</v>
      </c>
      <c r="F420">
        <v>3.2</v>
      </c>
    </row>
    <row r="421" spans="1:6" ht="12.75">
      <c r="A421">
        <v>3.2</v>
      </c>
      <c r="B421">
        <v>3.7</v>
      </c>
      <c r="E421">
        <v>3.95</v>
      </c>
      <c r="F421">
        <v>3.5</v>
      </c>
    </row>
    <row r="422" spans="1:6" ht="12.75">
      <c r="A422">
        <v>2.9</v>
      </c>
      <c r="B422">
        <v>3.59</v>
      </c>
      <c r="E422">
        <v>3.95</v>
      </c>
      <c r="F422">
        <v>3.3</v>
      </c>
    </row>
    <row r="423" spans="1:6" ht="12.75">
      <c r="A423">
        <v>6.8</v>
      </c>
      <c r="B423">
        <v>7.12</v>
      </c>
      <c r="E423">
        <v>3.94</v>
      </c>
      <c r="F423">
        <v>3.4</v>
      </c>
    </row>
    <row r="424" spans="1:6" ht="12.75">
      <c r="A424">
        <v>6.7</v>
      </c>
      <c r="B424">
        <v>6.99</v>
      </c>
      <c r="E424">
        <v>3.94</v>
      </c>
      <c r="F424">
        <v>3.3</v>
      </c>
    </row>
    <row r="425" spans="1:6" ht="12.75">
      <c r="A425">
        <v>6.7</v>
      </c>
      <c r="B425">
        <v>6.79</v>
      </c>
      <c r="E425">
        <v>3.93</v>
      </c>
      <c r="F425">
        <v>3.2</v>
      </c>
    </row>
    <row r="426" spans="1:6" ht="12.75">
      <c r="A426">
        <v>6.5</v>
      </c>
      <c r="B426">
        <v>6.72</v>
      </c>
      <c r="E426">
        <v>3.92</v>
      </c>
      <c r="F426">
        <v>3.4</v>
      </c>
    </row>
    <row r="427" spans="1:6" ht="12.75">
      <c r="A427">
        <v>6.4</v>
      </c>
      <c r="B427">
        <v>6.63</v>
      </c>
      <c r="E427">
        <v>3.91</v>
      </c>
      <c r="F427">
        <v>3.4</v>
      </c>
    </row>
    <row r="428" spans="1:6" ht="12.75">
      <c r="A428">
        <v>6.4</v>
      </c>
      <c r="B428">
        <v>6.56</v>
      </c>
      <c r="E428">
        <v>3.9</v>
      </c>
      <c r="F428">
        <v>3.5</v>
      </c>
    </row>
    <row r="429" spans="1:6" ht="12.75">
      <c r="A429">
        <v>6.2</v>
      </c>
      <c r="B429">
        <v>6.49</v>
      </c>
      <c r="E429">
        <v>3.89</v>
      </c>
      <c r="F429">
        <v>3.5</v>
      </c>
    </row>
    <row r="430" spans="1:6" ht="12.75">
      <c r="A430">
        <v>6.1</v>
      </c>
      <c r="B430">
        <v>6.42</v>
      </c>
      <c r="E430">
        <v>3.89</v>
      </c>
      <c r="F430">
        <v>3.1</v>
      </c>
    </row>
    <row r="431" spans="1:6" ht="12.75">
      <c r="A431">
        <v>6.1</v>
      </c>
      <c r="B431">
        <v>6.32</v>
      </c>
      <c r="E431">
        <v>3.88</v>
      </c>
      <c r="F431">
        <v>3.6</v>
      </c>
    </row>
    <row r="432" spans="1:6" ht="12.75">
      <c r="A432">
        <v>6.1</v>
      </c>
      <c r="B432">
        <v>6.28</v>
      </c>
      <c r="E432">
        <v>3.88</v>
      </c>
      <c r="F432">
        <v>3.5</v>
      </c>
    </row>
    <row r="433" spans="1:6" ht="12.75">
      <c r="A433">
        <v>5.9</v>
      </c>
      <c r="B433">
        <v>6.15</v>
      </c>
      <c r="E433">
        <v>3.84</v>
      </c>
      <c r="F433">
        <v>3.3</v>
      </c>
    </row>
    <row r="434" spans="1:6" ht="12.75">
      <c r="A434">
        <v>5.7</v>
      </c>
      <c r="B434">
        <v>5.98</v>
      </c>
      <c r="E434">
        <v>3.84</v>
      </c>
      <c r="F434">
        <v>3.3</v>
      </c>
    </row>
    <row r="435" spans="1:6" ht="12.75">
      <c r="A435">
        <v>5.5</v>
      </c>
      <c r="B435">
        <v>5.71</v>
      </c>
      <c r="E435">
        <v>3.84</v>
      </c>
      <c r="F435">
        <v>3.2</v>
      </c>
    </row>
    <row r="436" spans="1:6" ht="12.75">
      <c r="A436">
        <v>5.2</v>
      </c>
      <c r="B436">
        <v>5.53</v>
      </c>
      <c r="E436">
        <v>3.83</v>
      </c>
      <c r="F436">
        <v>3.3</v>
      </c>
    </row>
    <row r="437" spans="1:6" ht="12.75">
      <c r="A437">
        <v>5</v>
      </c>
      <c r="B437">
        <v>5.38</v>
      </c>
      <c r="E437">
        <v>3.82</v>
      </c>
      <c r="F437">
        <v>3.2</v>
      </c>
    </row>
    <row r="438" spans="1:6" ht="12.75">
      <c r="A438">
        <v>4.8</v>
      </c>
      <c r="B438">
        <v>4.97</v>
      </c>
      <c r="E438">
        <v>3.81</v>
      </c>
      <c r="F438">
        <v>3.3</v>
      </c>
    </row>
    <row r="439" spans="1:6" ht="12.75">
      <c r="A439">
        <v>4.5</v>
      </c>
      <c r="B439">
        <v>4.77</v>
      </c>
      <c r="E439">
        <v>3.8</v>
      </c>
      <c r="F439">
        <v>3.4</v>
      </c>
    </row>
    <row r="440" spans="1:6" ht="12.75">
      <c r="A440">
        <v>4.3</v>
      </c>
      <c r="B440">
        <v>4.6</v>
      </c>
      <c r="E440">
        <v>3.8</v>
      </c>
      <c r="F440">
        <v>3.2</v>
      </c>
    </row>
    <row r="441" spans="1:6" ht="12.75">
      <c r="A441">
        <v>4</v>
      </c>
      <c r="B441">
        <v>4.34</v>
      </c>
      <c r="E441">
        <v>3.8</v>
      </c>
      <c r="F441">
        <v>2.9</v>
      </c>
    </row>
    <row r="442" spans="1:6" ht="12.75">
      <c r="A442">
        <v>3.7</v>
      </c>
      <c r="B442">
        <v>4.16</v>
      </c>
      <c r="E442">
        <v>3.8</v>
      </c>
      <c r="F442">
        <v>2.9</v>
      </c>
    </row>
    <row r="443" spans="1:6" ht="12.75">
      <c r="A443">
        <v>3.5</v>
      </c>
      <c r="B443">
        <v>4</v>
      </c>
      <c r="E443">
        <v>3.79</v>
      </c>
      <c r="F443">
        <v>3</v>
      </c>
    </row>
    <row r="444" spans="1:6" ht="12.75">
      <c r="A444">
        <v>3.3</v>
      </c>
      <c r="B444">
        <v>3.84</v>
      </c>
      <c r="E444">
        <v>3.77</v>
      </c>
      <c r="F444">
        <v>3.2</v>
      </c>
    </row>
    <row r="445" spans="1:6" ht="12.75">
      <c r="A445">
        <v>3.1</v>
      </c>
      <c r="B445">
        <v>3.69</v>
      </c>
      <c r="E445">
        <v>3.77</v>
      </c>
      <c r="F445">
        <v>2.9</v>
      </c>
    </row>
    <row r="446" spans="1:6" ht="12.75">
      <c r="A446">
        <v>6.8</v>
      </c>
      <c r="B446">
        <v>7.08</v>
      </c>
      <c r="E446">
        <v>3.76</v>
      </c>
      <c r="F446">
        <v>3.3</v>
      </c>
    </row>
    <row r="447" spans="1:6" ht="12.75">
      <c r="A447">
        <v>6.4</v>
      </c>
      <c r="B447">
        <v>6.58</v>
      </c>
      <c r="E447">
        <v>3.76</v>
      </c>
      <c r="F447">
        <v>3.3</v>
      </c>
    </row>
    <row r="448" spans="1:6" ht="12.75">
      <c r="A448">
        <v>6</v>
      </c>
      <c r="B448">
        <v>6.1</v>
      </c>
      <c r="E448">
        <v>3.76</v>
      </c>
      <c r="F448">
        <v>3.2</v>
      </c>
    </row>
    <row r="449" spans="1:6" ht="12.75">
      <c r="A449">
        <v>5.8</v>
      </c>
      <c r="B449">
        <v>5.84</v>
      </c>
      <c r="E449">
        <v>3.76</v>
      </c>
      <c r="F449">
        <v>3.1</v>
      </c>
    </row>
    <row r="450" spans="1:6" ht="12.75">
      <c r="A450">
        <v>5.4</v>
      </c>
      <c r="B450">
        <v>5.53</v>
      </c>
      <c r="E450">
        <v>3.76</v>
      </c>
      <c r="F450">
        <v>3.1</v>
      </c>
    </row>
    <row r="451" spans="1:6" ht="12.75">
      <c r="A451">
        <v>5.3</v>
      </c>
      <c r="B451">
        <v>5.35</v>
      </c>
      <c r="E451">
        <v>3.75</v>
      </c>
      <c r="F451">
        <v>2.7</v>
      </c>
    </row>
    <row r="452" spans="1:6" ht="12.75">
      <c r="A452">
        <v>4.9</v>
      </c>
      <c r="B452">
        <v>5.08</v>
      </c>
      <c r="E452">
        <v>3.74</v>
      </c>
      <c r="F452">
        <v>3.3</v>
      </c>
    </row>
    <row r="453" spans="1:6" ht="12.75">
      <c r="A453">
        <v>4.7</v>
      </c>
      <c r="B453">
        <v>4.9</v>
      </c>
      <c r="E453">
        <v>3.74</v>
      </c>
      <c r="F453">
        <v>3</v>
      </c>
    </row>
    <row r="454" spans="1:6" ht="12.75">
      <c r="A454">
        <v>4.5</v>
      </c>
      <c r="B454">
        <v>4.74</v>
      </c>
      <c r="E454">
        <v>3.73</v>
      </c>
      <c r="F454">
        <v>3.1</v>
      </c>
    </row>
    <row r="455" spans="1:6" ht="12.75">
      <c r="A455">
        <v>4.1</v>
      </c>
      <c r="B455">
        <v>4.5</v>
      </c>
      <c r="E455">
        <v>3.72</v>
      </c>
      <c r="F455">
        <v>3.2</v>
      </c>
    </row>
    <row r="456" spans="1:6" ht="12.75">
      <c r="A456">
        <v>3.8</v>
      </c>
      <c r="B456">
        <v>4.34</v>
      </c>
      <c r="E456">
        <v>3.72</v>
      </c>
      <c r="F456">
        <v>2.9</v>
      </c>
    </row>
    <row r="457" spans="1:6" ht="12.75">
      <c r="A457">
        <v>3.6</v>
      </c>
      <c r="B457">
        <v>4.07</v>
      </c>
      <c r="E457">
        <v>3.7</v>
      </c>
      <c r="F457">
        <v>3.2</v>
      </c>
    </row>
    <row r="458" spans="1:6" ht="12.75">
      <c r="A458">
        <v>3.4</v>
      </c>
      <c r="B458">
        <v>3.98</v>
      </c>
      <c r="E458">
        <v>3.7</v>
      </c>
      <c r="F458">
        <v>3</v>
      </c>
    </row>
    <row r="459" spans="1:6" ht="12.75">
      <c r="A459">
        <v>3.2</v>
      </c>
      <c r="B459">
        <v>3.82</v>
      </c>
      <c r="E459">
        <v>3.7</v>
      </c>
      <c r="F459">
        <v>3</v>
      </c>
    </row>
    <row r="460" spans="1:6" ht="12.75">
      <c r="A460">
        <v>3</v>
      </c>
      <c r="B460">
        <v>3.65</v>
      </c>
      <c r="E460">
        <v>3.69</v>
      </c>
      <c r="F460">
        <v>3.1</v>
      </c>
    </row>
    <row r="461" spans="1:6" ht="12.75">
      <c r="A461">
        <v>2.8</v>
      </c>
      <c r="B461">
        <v>3.5</v>
      </c>
      <c r="E461">
        <v>3.69</v>
      </c>
      <c r="F461">
        <v>2.9</v>
      </c>
    </row>
    <row r="462" spans="1:6" ht="12.75">
      <c r="A462">
        <v>2.7</v>
      </c>
      <c r="B462">
        <v>3.4</v>
      </c>
      <c r="E462">
        <v>3.67</v>
      </c>
      <c r="F462">
        <v>3.2</v>
      </c>
    </row>
    <row r="463" spans="1:6" ht="12.75">
      <c r="A463">
        <v>6.8</v>
      </c>
      <c r="B463">
        <v>7.1</v>
      </c>
      <c r="E463">
        <v>3.66</v>
      </c>
      <c r="F463">
        <v>3.2</v>
      </c>
    </row>
    <row r="464" spans="1:6" ht="12.75">
      <c r="A464">
        <v>6.3</v>
      </c>
      <c r="B464">
        <v>6.5</v>
      </c>
      <c r="E464">
        <v>3.66</v>
      </c>
      <c r="F464">
        <v>3.2</v>
      </c>
    </row>
    <row r="465" spans="1:6" ht="12.75">
      <c r="A465">
        <v>6.1</v>
      </c>
      <c r="B465">
        <v>6.06</v>
      </c>
      <c r="E465">
        <v>3.66</v>
      </c>
      <c r="F465">
        <v>3</v>
      </c>
    </row>
    <row r="466" spans="1:6" ht="12.75">
      <c r="A466">
        <v>5.8</v>
      </c>
      <c r="B466">
        <v>5.8</v>
      </c>
      <c r="E466">
        <v>3.66</v>
      </c>
      <c r="F466">
        <v>2.8</v>
      </c>
    </row>
    <row r="467" spans="1:6" ht="12.75">
      <c r="A467">
        <v>5.4</v>
      </c>
      <c r="B467">
        <v>5.52</v>
      </c>
      <c r="E467">
        <v>3.65</v>
      </c>
      <c r="F467">
        <v>3.1</v>
      </c>
    </row>
    <row r="468" spans="1:6" ht="12.75">
      <c r="A468">
        <v>5.1</v>
      </c>
      <c r="B468">
        <v>5.3</v>
      </c>
      <c r="E468">
        <v>3.65</v>
      </c>
      <c r="F468">
        <v>3</v>
      </c>
    </row>
    <row r="469" spans="1:6" ht="12.75">
      <c r="A469">
        <v>4.9</v>
      </c>
      <c r="B469">
        <v>5.12</v>
      </c>
      <c r="E469">
        <v>3.64</v>
      </c>
      <c r="F469">
        <v>3.1</v>
      </c>
    </row>
    <row r="470" spans="1:6" ht="12.75">
      <c r="A470">
        <v>4.8</v>
      </c>
      <c r="B470">
        <v>4.99</v>
      </c>
      <c r="E470">
        <v>3.62</v>
      </c>
      <c r="F470">
        <v>3</v>
      </c>
    </row>
    <row r="471" spans="1:6" ht="12.75">
      <c r="A471">
        <v>4.6</v>
      </c>
      <c r="B471">
        <v>4.86</v>
      </c>
      <c r="E471">
        <v>3.62</v>
      </c>
      <c r="F471">
        <v>3</v>
      </c>
    </row>
    <row r="472" spans="1:6" ht="12.75">
      <c r="A472">
        <v>4.4</v>
      </c>
      <c r="B472">
        <v>4.69</v>
      </c>
      <c r="E472">
        <v>3.6</v>
      </c>
      <c r="F472">
        <v>2.9</v>
      </c>
    </row>
    <row r="473" spans="1:6" ht="12.75">
      <c r="A473">
        <v>4.1</v>
      </c>
      <c r="B473">
        <v>4.43</v>
      </c>
      <c r="E473">
        <v>3.6</v>
      </c>
      <c r="F473">
        <v>2.8</v>
      </c>
    </row>
    <row r="474" spans="1:6" ht="12.75">
      <c r="A474">
        <v>3.9</v>
      </c>
      <c r="B474">
        <v>4.25</v>
      </c>
      <c r="E474">
        <v>3.6</v>
      </c>
      <c r="F474">
        <v>2.7</v>
      </c>
    </row>
    <row r="475" spans="1:6" ht="12.75">
      <c r="A475">
        <v>3.4</v>
      </c>
      <c r="B475">
        <v>3.96</v>
      </c>
      <c r="E475">
        <v>3.59</v>
      </c>
      <c r="F475">
        <v>2.9</v>
      </c>
    </row>
    <row r="476" spans="1:6" ht="12.75">
      <c r="A476">
        <v>3.2</v>
      </c>
      <c r="B476">
        <v>3.77</v>
      </c>
      <c r="E476">
        <v>3.59</v>
      </c>
      <c r="F476">
        <v>2.7</v>
      </c>
    </row>
    <row r="477" spans="1:6" ht="12.75">
      <c r="A477">
        <v>3</v>
      </c>
      <c r="B477">
        <v>3.62</v>
      </c>
      <c r="E477">
        <v>3.58</v>
      </c>
      <c r="F477">
        <v>2.9</v>
      </c>
    </row>
    <row r="478" spans="1:6" ht="12.75">
      <c r="A478">
        <v>2.8</v>
      </c>
      <c r="B478">
        <v>3.48</v>
      </c>
      <c r="E478">
        <v>3.58</v>
      </c>
      <c r="F478">
        <v>2.9</v>
      </c>
    </row>
    <row r="479" spans="1:6" ht="12.75">
      <c r="A479">
        <v>7</v>
      </c>
      <c r="B479">
        <v>7.52</v>
      </c>
      <c r="E479">
        <v>3.58</v>
      </c>
      <c r="F479">
        <v>2.9</v>
      </c>
    </row>
    <row r="480" spans="1:6" ht="12.75">
      <c r="A480">
        <v>6.8</v>
      </c>
      <c r="B480">
        <v>7.28</v>
      </c>
      <c r="E480">
        <v>3.58</v>
      </c>
      <c r="F480">
        <v>2.7</v>
      </c>
    </row>
    <row r="481" spans="1:6" ht="12.75">
      <c r="A481">
        <v>6.7</v>
      </c>
      <c r="B481">
        <v>7.07</v>
      </c>
      <c r="E481">
        <v>3.57</v>
      </c>
      <c r="F481">
        <v>3.1</v>
      </c>
    </row>
    <row r="482" spans="1:6" ht="12.75">
      <c r="A482">
        <v>6.6</v>
      </c>
      <c r="B482">
        <v>7.01</v>
      </c>
      <c r="E482">
        <v>3.56</v>
      </c>
      <c r="F482">
        <v>3</v>
      </c>
    </row>
    <row r="483" spans="1:6" ht="12.75">
      <c r="A483">
        <v>6.6</v>
      </c>
      <c r="B483">
        <v>6.83</v>
      </c>
      <c r="E483">
        <v>3.55</v>
      </c>
      <c r="F483">
        <v>2.9</v>
      </c>
    </row>
    <row r="484" spans="1:6" ht="12.75">
      <c r="A484">
        <v>6.5</v>
      </c>
      <c r="B484">
        <v>6.64</v>
      </c>
      <c r="E484">
        <v>3.55</v>
      </c>
      <c r="F484">
        <v>2.9</v>
      </c>
    </row>
    <row r="485" spans="1:6" ht="12.75">
      <c r="A485">
        <v>6.5</v>
      </c>
      <c r="B485">
        <v>6.55</v>
      </c>
      <c r="E485">
        <v>3.55</v>
      </c>
      <c r="F485">
        <v>2.8</v>
      </c>
    </row>
    <row r="486" spans="1:6" ht="12.75">
      <c r="A486">
        <v>6.4</v>
      </c>
      <c r="B486">
        <v>6.52</v>
      </c>
      <c r="E486">
        <v>3.54</v>
      </c>
      <c r="F486">
        <v>3</v>
      </c>
    </row>
    <row r="487" spans="1:6" ht="12.75">
      <c r="A487">
        <v>6.3</v>
      </c>
      <c r="B487">
        <v>6.4</v>
      </c>
      <c r="E487">
        <v>3.53</v>
      </c>
      <c r="F487">
        <v>2.9</v>
      </c>
    </row>
    <row r="488" spans="1:6" ht="12.75">
      <c r="A488">
        <v>6.2</v>
      </c>
      <c r="B488">
        <v>6.33</v>
      </c>
      <c r="E488">
        <v>3.53</v>
      </c>
      <c r="F488">
        <v>2.8</v>
      </c>
    </row>
    <row r="489" spans="1:6" ht="12.75">
      <c r="A489">
        <v>6.2</v>
      </c>
      <c r="B489">
        <v>6.22</v>
      </c>
      <c r="E489">
        <v>3.52</v>
      </c>
      <c r="F489">
        <v>3</v>
      </c>
    </row>
    <row r="490" spans="1:6" ht="12.75">
      <c r="A490">
        <v>6.1</v>
      </c>
      <c r="B490">
        <v>6.13</v>
      </c>
      <c r="E490">
        <v>3.5</v>
      </c>
      <c r="F490">
        <v>2.9</v>
      </c>
    </row>
    <row r="491" spans="1:6" ht="12.75">
      <c r="A491">
        <v>6</v>
      </c>
      <c r="B491">
        <v>6</v>
      </c>
      <c r="E491">
        <v>3.5</v>
      </c>
      <c r="F491">
        <v>2.8</v>
      </c>
    </row>
    <row r="492" spans="1:6" ht="12.75">
      <c r="A492">
        <v>5.9</v>
      </c>
      <c r="B492">
        <v>5.94</v>
      </c>
      <c r="E492">
        <v>3.5</v>
      </c>
      <c r="F492">
        <v>2.6</v>
      </c>
    </row>
    <row r="493" spans="1:6" ht="12.75">
      <c r="A493">
        <v>5.7</v>
      </c>
      <c r="B493">
        <v>5.8</v>
      </c>
      <c r="E493">
        <v>3.49</v>
      </c>
      <c r="F493">
        <v>2.9</v>
      </c>
    </row>
    <row r="494" spans="1:6" ht="12.75">
      <c r="A494">
        <v>5.6</v>
      </c>
      <c r="B494">
        <v>5.62</v>
      </c>
      <c r="E494">
        <v>3.49</v>
      </c>
      <c r="F494">
        <v>2.8</v>
      </c>
    </row>
    <row r="495" spans="1:6" ht="12.75">
      <c r="A495">
        <v>5.4</v>
      </c>
      <c r="B495">
        <v>5.46</v>
      </c>
      <c r="E495">
        <v>3.48</v>
      </c>
      <c r="F495">
        <v>2.8</v>
      </c>
    </row>
    <row r="496" spans="1:6" ht="12.75">
      <c r="A496">
        <v>5.1</v>
      </c>
      <c r="B496">
        <v>5.19</v>
      </c>
      <c r="E496">
        <v>3.48</v>
      </c>
      <c r="F496">
        <v>2.4</v>
      </c>
    </row>
    <row r="497" spans="1:6" ht="12.75">
      <c r="A497">
        <v>4.3</v>
      </c>
      <c r="B497">
        <v>4.73</v>
      </c>
      <c r="E497">
        <v>3.47</v>
      </c>
      <c r="F497">
        <v>2.5</v>
      </c>
    </row>
    <row r="498" spans="1:6" ht="12.75">
      <c r="A498">
        <v>4.3</v>
      </c>
      <c r="B498">
        <v>4.59</v>
      </c>
      <c r="E498">
        <v>3.46</v>
      </c>
      <c r="F498">
        <v>2.7</v>
      </c>
    </row>
    <row r="499" spans="1:6" ht="12.75">
      <c r="A499">
        <v>4.1</v>
      </c>
      <c r="B499">
        <v>4.443</v>
      </c>
      <c r="E499">
        <v>3.46</v>
      </c>
      <c r="F499">
        <v>2.7</v>
      </c>
    </row>
    <row r="500" spans="1:6" ht="12.75">
      <c r="A500">
        <v>3.8</v>
      </c>
      <c r="B500">
        <v>4.19</v>
      </c>
      <c r="E500">
        <v>3.46</v>
      </c>
      <c r="F500">
        <v>2.7</v>
      </c>
    </row>
    <row r="501" spans="1:6" ht="12.75">
      <c r="A501">
        <v>3.5</v>
      </c>
      <c r="B501">
        <v>4.02</v>
      </c>
      <c r="E501">
        <v>3.46</v>
      </c>
      <c r="F501">
        <v>2.3</v>
      </c>
    </row>
    <row r="502" spans="1:6" ht="12.75">
      <c r="A502">
        <v>3.2</v>
      </c>
      <c r="B502">
        <v>3.76</v>
      </c>
      <c r="E502">
        <v>3.45</v>
      </c>
      <c r="F502">
        <v>2.4</v>
      </c>
    </row>
    <row r="503" spans="1:6" ht="12.75">
      <c r="A503">
        <v>2.9</v>
      </c>
      <c r="B503">
        <v>3.6</v>
      </c>
      <c r="E503">
        <v>3.44</v>
      </c>
      <c r="F503">
        <v>2.6</v>
      </c>
    </row>
    <row r="504" spans="1:6" ht="12.75">
      <c r="A504">
        <v>2.8</v>
      </c>
      <c r="B504">
        <v>3.49</v>
      </c>
      <c r="E504">
        <v>3.44</v>
      </c>
      <c r="F504">
        <v>2.5</v>
      </c>
    </row>
    <row r="505" spans="1:6" ht="12.75">
      <c r="A505">
        <v>7</v>
      </c>
      <c r="B505">
        <v>7.5</v>
      </c>
      <c r="E505">
        <v>3.44</v>
      </c>
      <c r="F505">
        <v>2.5</v>
      </c>
    </row>
    <row r="506" spans="1:6" ht="12.75">
      <c r="A506">
        <v>6.5</v>
      </c>
      <c r="B506">
        <v>6.57</v>
      </c>
      <c r="E506">
        <v>3.43</v>
      </c>
      <c r="F506">
        <v>2.9</v>
      </c>
    </row>
    <row r="507" spans="1:6" ht="12.75">
      <c r="A507">
        <v>6</v>
      </c>
      <c r="B507">
        <v>6.1</v>
      </c>
      <c r="E507">
        <v>3.43</v>
      </c>
      <c r="F507">
        <v>2.9</v>
      </c>
    </row>
    <row r="508" spans="1:6" ht="12.75">
      <c r="A508">
        <v>5.8</v>
      </c>
      <c r="B508">
        <v>5.81</v>
      </c>
      <c r="E508">
        <v>3.43</v>
      </c>
      <c r="F508">
        <v>2.8</v>
      </c>
    </row>
    <row r="509" spans="1:6" ht="12.75">
      <c r="A509">
        <v>5.5</v>
      </c>
      <c r="B509">
        <v>5.5</v>
      </c>
      <c r="E509">
        <v>3.42</v>
      </c>
      <c r="F509">
        <v>2.7</v>
      </c>
    </row>
    <row r="510" spans="1:6" ht="12.75">
      <c r="A510">
        <v>5.3</v>
      </c>
      <c r="B510">
        <v>5.3</v>
      </c>
      <c r="E510">
        <v>3.41</v>
      </c>
      <c r="F510">
        <v>2.7</v>
      </c>
    </row>
    <row r="511" spans="1:6" ht="12.75">
      <c r="A511">
        <v>5.1</v>
      </c>
      <c r="B511">
        <v>5.15</v>
      </c>
      <c r="E511">
        <v>3.4</v>
      </c>
      <c r="F511">
        <v>2.8</v>
      </c>
    </row>
    <row r="512" spans="1:6" ht="12.75">
      <c r="A512">
        <v>4.9</v>
      </c>
      <c r="B512">
        <v>4.98</v>
      </c>
      <c r="E512">
        <v>3.4</v>
      </c>
      <c r="F512">
        <v>2.7</v>
      </c>
    </row>
    <row r="513" spans="1:6" ht="12.75">
      <c r="A513">
        <v>4.4</v>
      </c>
      <c r="B513">
        <v>4.55</v>
      </c>
      <c r="E513">
        <v>3.39</v>
      </c>
      <c r="F513">
        <v>2.8</v>
      </c>
    </row>
    <row r="514" spans="1:6" ht="12.75">
      <c r="A514">
        <v>4</v>
      </c>
      <c r="B514">
        <v>4.28</v>
      </c>
      <c r="E514">
        <v>3.39</v>
      </c>
      <c r="F514">
        <v>2.7</v>
      </c>
    </row>
    <row r="515" spans="1:6" ht="12.75">
      <c r="A515">
        <v>3.8</v>
      </c>
      <c r="B515">
        <v>4.13</v>
      </c>
      <c r="E515">
        <v>3.38</v>
      </c>
      <c r="F515">
        <v>2.5</v>
      </c>
    </row>
    <row r="516" spans="1:6" ht="12.75">
      <c r="A516">
        <v>3.3</v>
      </c>
      <c r="B516">
        <v>3.95</v>
      </c>
      <c r="E516">
        <v>3.36</v>
      </c>
      <c r="F516">
        <v>2.6</v>
      </c>
    </row>
    <row r="517" spans="1:6" ht="12.75">
      <c r="A517">
        <v>3.3</v>
      </c>
      <c r="B517">
        <v>3.81</v>
      </c>
      <c r="E517">
        <v>3.36</v>
      </c>
      <c r="F517">
        <v>2.5</v>
      </c>
    </row>
    <row r="518" spans="1:6" ht="12.75">
      <c r="A518">
        <v>3.1</v>
      </c>
      <c r="B518">
        <v>3.65</v>
      </c>
      <c r="E518">
        <v>3.36</v>
      </c>
      <c r="F518">
        <v>2.4</v>
      </c>
    </row>
    <row r="519" spans="1:6" ht="12.75">
      <c r="A519">
        <v>2.9</v>
      </c>
      <c r="B519">
        <v>3.49</v>
      </c>
      <c r="E519">
        <v>3.34</v>
      </c>
      <c r="F519">
        <v>2.8</v>
      </c>
    </row>
    <row r="520" spans="1:6" ht="12.75">
      <c r="A520">
        <v>2.7</v>
      </c>
      <c r="B520">
        <v>3.39</v>
      </c>
      <c r="E520">
        <v>3.33</v>
      </c>
      <c r="F520">
        <v>2.6</v>
      </c>
    </row>
    <row r="521" spans="1:6" ht="12.75">
      <c r="A521">
        <v>7.1</v>
      </c>
      <c r="B521">
        <v>7.44</v>
      </c>
      <c r="E521">
        <v>3.33</v>
      </c>
      <c r="F521">
        <v>2.3</v>
      </c>
    </row>
    <row r="522" spans="1:6" ht="12.75">
      <c r="A522">
        <v>6</v>
      </c>
      <c r="B522">
        <v>6.65</v>
      </c>
      <c r="E522">
        <v>3.32</v>
      </c>
      <c r="F522">
        <v>2.7</v>
      </c>
    </row>
    <row r="523" spans="1:6" ht="12.75">
      <c r="A523">
        <v>5.6</v>
      </c>
      <c r="B523">
        <v>6.03</v>
      </c>
      <c r="E523">
        <v>3.3</v>
      </c>
      <c r="F523">
        <v>2.3</v>
      </c>
    </row>
    <row r="524" spans="1:6" ht="12.75">
      <c r="A524">
        <v>5.6</v>
      </c>
      <c r="B524">
        <v>5.89</v>
      </c>
      <c r="E524">
        <v>3.29</v>
      </c>
      <c r="F524">
        <v>2.7</v>
      </c>
    </row>
    <row r="525" spans="1:6" ht="12.75">
      <c r="A525">
        <v>5.4</v>
      </c>
      <c r="B525">
        <v>5.56</v>
      </c>
      <c r="E525">
        <v>3.29</v>
      </c>
      <c r="F525">
        <v>2.7</v>
      </c>
    </row>
    <row r="526" spans="1:6" ht="12.75">
      <c r="A526">
        <v>5.1</v>
      </c>
      <c r="B526">
        <v>5.39</v>
      </c>
      <c r="E526">
        <v>3.27</v>
      </c>
      <c r="F526">
        <v>2.3</v>
      </c>
    </row>
    <row r="527" spans="1:6" ht="12.75">
      <c r="A527">
        <v>5.1</v>
      </c>
      <c r="B527">
        <v>5.28</v>
      </c>
      <c r="E527">
        <v>3.26</v>
      </c>
      <c r="F527">
        <v>2.2</v>
      </c>
    </row>
    <row r="528" spans="1:6" ht="12.75">
      <c r="A528">
        <v>5.1</v>
      </c>
      <c r="B528">
        <v>5.16</v>
      </c>
      <c r="E528">
        <v>3.25</v>
      </c>
      <c r="F528">
        <v>2.2</v>
      </c>
    </row>
    <row r="529" spans="1:6" ht="12.75">
      <c r="A529">
        <v>4.9</v>
      </c>
      <c r="B529">
        <v>4.99</v>
      </c>
      <c r="E529">
        <v>3.25</v>
      </c>
      <c r="F529">
        <v>2</v>
      </c>
    </row>
    <row r="530" spans="1:6" ht="12.75">
      <c r="A530">
        <v>4.7</v>
      </c>
      <c r="B530">
        <v>4.81</v>
      </c>
      <c r="E530">
        <v>3.24</v>
      </c>
      <c r="F530">
        <v>2.2</v>
      </c>
    </row>
    <row r="531" spans="1:6" ht="12.75">
      <c r="A531">
        <v>4.2</v>
      </c>
      <c r="B531">
        <v>4.51</v>
      </c>
      <c r="E531">
        <v>3.2</v>
      </c>
      <c r="F531">
        <v>2.2</v>
      </c>
    </row>
    <row r="532" spans="1:6" ht="12.75">
      <c r="A532">
        <v>4</v>
      </c>
      <c r="B532">
        <v>4.29</v>
      </c>
      <c r="E532">
        <v>3.17</v>
      </c>
      <c r="F532">
        <v>2.1</v>
      </c>
    </row>
    <row r="533" spans="1:6" ht="12.75">
      <c r="A533">
        <v>3.7</v>
      </c>
      <c r="B533">
        <v>4.06</v>
      </c>
      <c r="E533">
        <v>3.14</v>
      </c>
      <c r="F533">
        <v>2.1</v>
      </c>
    </row>
    <row r="534" spans="1:6" ht="12.75">
      <c r="A534">
        <v>3.5</v>
      </c>
      <c r="B534">
        <v>3.9</v>
      </c>
      <c r="E534">
        <v>3.13</v>
      </c>
      <c r="F534">
        <v>1.9</v>
      </c>
    </row>
    <row r="535" spans="1:6" ht="12.75">
      <c r="A535">
        <v>3.2</v>
      </c>
      <c r="B535">
        <v>3.72</v>
      </c>
      <c r="E535">
        <v>3.12</v>
      </c>
      <c r="F535">
        <v>2.1</v>
      </c>
    </row>
    <row r="536" spans="1:6" ht="12.75">
      <c r="A536">
        <v>2.9</v>
      </c>
      <c r="B536">
        <v>3.55</v>
      </c>
      <c r="E536">
        <v>3.12</v>
      </c>
      <c r="F536">
        <v>2</v>
      </c>
    </row>
    <row r="537" spans="1:6" ht="12.75">
      <c r="A537">
        <v>2.8</v>
      </c>
      <c r="B537">
        <v>3.43</v>
      </c>
      <c r="E537">
        <v>3.04</v>
      </c>
      <c r="F537">
        <v>1.9</v>
      </c>
    </row>
    <row r="538" spans="1:6" ht="12.75">
      <c r="A538">
        <v>2.7</v>
      </c>
      <c r="B538">
        <v>3.32</v>
      </c>
      <c r="E538">
        <v>3.02</v>
      </c>
      <c r="F538">
        <v>1.8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K1">
      <selection activeCell="C49" sqref="C49"/>
    </sheetView>
  </sheetViews>
  <sheetFormatPr defaultColWidth="9.00390625" defaultRowHeight="12.75"/>
  <cols>
    <col min="1" max="1" width="14.125" style="0" customWidth="1"/>
    <col min="2" max="16384" width="5.75390625" style="0" customWidth="1"/>
  </cols>
  <sheetData>
    <row r="1" ht="15.75">
      <c r="A1" s="1" t="s">
        <v>63</v>
      </c>
    </row>
    <row r="8" spans="1:13" ht="12.75">
      <c r="A8" s="10" t="s">
        <v>11</v>
      </c>
      <c r="B8" s="10">
        <v>1</v>
      </c>
      <c r="M8" t="s">
        <v>56</v>
      </c>
    </row>
    <row r="9" spans="1:12" ht="12.75">
      <c r="A9" t="s">
        <v>55</v>
      </c>
      <c r="B9">
        <v>0</v>
      </c>
      <c r="C9">
        <v>0.5</v>
      </c>
      <c r="D9">
        <v>1</v>
      </c>
      <c r="E9">
        <v>1.5</v>
      </c>
      <c r="F9">
        <v>2</v>
      </c>
      <c r="G9">
        <v>2.5</v>
      </c>
      <c r="H9">
        <v>3</v>
      </c>
      <c r="I9">
        <v>3.5</v>
      </c>
      <c r="J9">
        <v>4</v>
      </c>
      <c r="K9">
        <v>4.5</v>
      </c>
      <c r="L9">
        <v>5</v>
      </c>
    </row>
    <row r="10" spans="1:13" ht="12.75">
      <c r="A10" t="s">
        <v>64</v>
      </c>
      <c r="B10">
        <v>141</v>
      </c>
      <c r="C10">
        <v>149</v>
      </c>
      <c r="D10">
        <v>155</v>
      </c>
      <c r="E10">
        <v>161</v>
      </c>
      <c r="F10">
        <v>167</v>
      </c>
      <c r="G10">
        <v>174</v>
      </c>
      <c r="H10">
        <v>181</v>
      </c>
      <c r="I10">
        <v>204</v>
      </c>
      <c r="J10">
        <v>248</v>
      </c>
      <c r="K10">
        <v>325</v>
      </c>
      <c r="L10">
        <v>388</v>
      </c>
      <c r="M10">
        <v>3.5</v>
      </c>
    </row>
    <row r="11" spans="2:13" ht="12.75">
      <c r="B11">
        <v>142</v>
      </c>
      <c r="C11">
        <v>149</v>
      </c>
      <c r="D11">
        <v>154</v>
      </c>
      <c r="E11">
        <v>160</v>
      </c>
      <c r="F11">
        <v>165</v>
      </c>
      <c r="G11">
        <v>171</v>
      </c>
      <c r="H11">
        <v>177</v>
      </c>
      <c r="I11">
        <v>184</v>
      </c>
      <c r="J11">
        <v>201</v>
      </c>
      <c r="K11">
        <v>245</v>
      </c>
      <c r="L11">
        <v>297</v>
      </c>
      <c r="M11">
        <v>3.8</v>
      </c>
    </row>
    <row r="13" spans="1:13" ht="12.75">
      <c r="A13" s="10" t="s">
        <v>11</v>
      </c>
      <c r="B13" s="10">
        <v>2</v>
      </c>
      <c r="M13" t="s">
        <v>56</v>
      </c>
    </row>
    <row r="14" spans="1:12" ht="12.75">
      <c r="A14" t="s">
        <v>55</v>
      </c>
      <c r="B14">
        <v>0</v>
      </c>
      <c r="C14">
        <v>0.5</v>
      </c>
      <c r="D14">
        <v>1</v>
      </c>
      <c r="E14">
        <v>1.5</v>
      </c>
      <c r="F14">
        <v>2</v>
      </c>
      <c r="G14">
        <v>2.5</v>
      </c>
      <c r="H14">
        <v>3</v>
      </c>
      <c r="I14">
        <v>3.5</v>
      </c>
      <c r="J14">
        <v>4</v>
      </c>
      <c r="K14">
        <v>4.5</v>
      </c>
      <c r="L14">
        <v>5</v>
      </c>
    </row>
    <row r="15" spans="1:13" ht="12.75">
      <c r="A15" t="s">
        <v>64</v>
      </c>
      <c r="B15">
        <v>133</v>
      </c>
      <c r="C15">
        <v>139</v>
      </c>
      <c r="D15">
        <v>145</v>
      </c>
      <c r="E15">
        <v>151</v>
      </c>
      <c r="F15">
        <v>157</v>
      </c>
      <c r="G15">
        <v>163</v>
      </c>
      <c r="H15">
        <v>170</v>
      </c>
      <c r="I15">
        <v>181</v>
      </c>
      <c r="J15">
        <v>212</v>
      </c>
      <c r="K15">
        <v>283</v>
      </c>
      <c r="L15">
        <v>320</v>
      </c>
      <c r="M15">
        <v>3.8</v>
      </c>
    </row>
    <row r="16" spans="2:13" ht="12.75">
      <c r="B16">
        <v>133</v>
      </c>
      <c r="C16">
        <v>141</v>
      </c>
      <c r="D16">
        <v>147</v>
      </c>
      <c r="E16">
        <v>153</v>
      </c>
      <c r="F16">
        <v>159</v>
      </c>
      <c r="G16">
        <v>165</v>
      </c>
      <c r="H16">
        <v>172</v>
      </c>
      <c r="I16">
        <v>180</v>
      </c>
      <c r="J16">
        <v>215</v>
      </c>
      <c r="K16">
        <v>250</v>
      </c>
      <c r="L16">
        <v>337</v>
      </c>
      <c r="M16">
        <v>3.8</v>
      </c>
    </row>
    <row r="17" spans="2:13" ht="12.75">
      <c r="B17">
        <v>133</v>
      </c>
      <c r="C17">
        <v>139</v>
      </c>
      <c r="D17">
        <v>145</v>
      </c>
      <c r="E17">
        <v>150</v>
      </c>
      <c r="F17">
        <v>156</v>
      </c>
      <c r="G17">
        <v>162</v>
      </c>
      <c r="H17">
        <v>170</v>
      </c>
      <c r="I17">
        <v>181</v>
      </c>
      <c r="J17">
        <v>213</v>
      </c>
      <c r="K17">
        <v>284</v>
      </c>
      <c r="M17">
        <v>3.8</v>
      </c>
    </row>
    <row r="19" spans="1:2" ht="12.75">
      <c r="A19" s="10" t="s">
        <v>11</v>
      </c>
      <c r="B19" s="10" t="s">
        <v>12</v>
      </c>
    </row>
    <row r="20" spans="1:26" ht="12.75">
      <c r="A20" t="s">
        <v>55</v>
      </c>
      <c r="B20">
        <v>0</v>
      </c>
      <c r="C20">
        <v>0.4</v>
      </c>
      <c r="D20">
        <v>0.6</v>
      </c>
      <c r="E20">
        <v>0.8</v>
      </c>
      <c r="F20">
        <v>1</v>
      </c>
      <c r="G20">
        <v>1.2</v>
      </c>
      <c r="H20">
        <v>1.4</v>
      </c>
      <c r="I20">
        <v>1.6</v>
      </c>
      <c r="J20">
        <v>1.8</v>
      </c>
      <c r="K20">
        <v>2</v>
      </c>
      <c r="L20">
        <v>2.2</v>
      </c>
      <c r="M20">
        <v>2.4</v>
      </c>
      <c r="N20">
        <v>2.6</v>
      </c>
      <c r="O20">
        <v>2.8</v>
      </c>
      <c r="P20">
        <v>3</v>
      </c>
      <c r="Q20">
        <v>3.2</v>
      </c>
      <c r="R20">
        <v>3.4</v>
      </c>
      <c r="S20">
        <v>3.6</v>
      </c>
      <c r="T20">
        <v>3.8</v>
      </c>
      <c r="U20">
        <v>4</v>
      </c>
      <c r="V20">
        <v>4.2</v>
      </c>
      <c r="W20">
        <v>4.4</v>
      </c>
      <c r="X20">
        <v>4.6</v>
      </c>
      <c r="Y20">
        <v>4.8</v>
      </c>
      <c r="Z20">
        <v>5</v>
      </c>
    </row>
    <row r="21" spans="1:26" ht="12.75">
      <c r="A21" t="s">
        <v>64</v>
      </c>
      <c r="B21">
        <v>193</v>
      </c>
      <c r="C21">
        <v>198</v>
      </c>
      <c r="D21">
        <v>199</v>
      </c>
      <c r="E21">
        <v>200</v>
      </c>
      <c r="F21">
        <v>204</v>
      </c>
      <c r="G21">
        <v>206</v>
      </c>
      <c r="H21">
        <v>208</v>
      </c>
      <c r="I21">
        <v>210</v>
      </c>
      <c r="J21">
        <v>213</v>
      </c>
      <c r="K21">
        <v>216</v>
      </c>
      <c r="L21">
        <v>218</v>
      </c>
      <c r="M21">
        <v>221</v>
      </c>
      <c r="N21">
        <v>222</v>
      </c>
      <c r="O21">
        <v>224</v>
      </c>
      <c r="P21">
        <v>226</v>
      </c>
      <c r="Q21">
        <v>229</v>
      </c>
      <c r="R21">
        <v>231</v>
      </c>
      <c r="S21">
        <v>233</v>
      </c>
      <c r="T21">
        <v>236</v>
      </c>
      <c r="U21">
        <v>239</v>
      </c>
      <c r="V21">
        <v>245</v>
      </c>
      <c r="W21">
        <v>262</v>
      </c>
      <c r="X21">
        <v>290</v>
      </c>
      <c r="Y21">
        <v>313</v>
      </c>
      <c r="Z21">
        <v>344</v>
      </c>
    </row>
    <row r="24" spans="1:26" ht="12.75">
      <c r="A24" s="10" t="s">
        <v>11</v>
      </c>
      <c r="B24" s="10" t="s">
        <v>13</v>
      </c>
      <c r="Z24" t="s">
        <v>56</v>
      </c>
    </row>
    <row r="25" spans="1:25" ht="12.75">
      <c r="A25" t="s">
        <v>55</v>
      </c>
      <c r="B25">
        <v>0</v>
      </c>
      <c r="C25">
        <v>0.5</v>
      </c>
      <c r="D25">
        <v>1</v>
      </c>
      <c r="E25">
        <v>1.5</v>
      </c>
      <c r="F25">
        <v>2</v>
      </c>
      <c r="G25">
        <v>2.5</v>
      </c>
      <c r="H25">
        <v>3</v>
      </c>
      <c r="I25">
        <v>3.5</v>
      </c>
      <c r="J25">
        <v>4</v>
      </c>
      <c r="K25">
        <v>4.5</v>
      </c>
      <c r="L25">
        <v>5</v>
      </c>
      <c r="M25">
        <v>5.5</v>
      </c>
      <c r="N25">
        <v>6</v>
      </c>
      <c r="O25">
        <v>6.5</v>
      </c>
      <c r="P25">
        <v>7</v>
      </c>
      <c r="Q25">
        <v>7.5</v>
      </c>
      <c r="R25">
        <v>8</v>
      </c>
      <c r="S25">
        <v>8.5</v>
      </c>
      <c r="T25">
        <v>9</v>
      </c>
      <c r="U25">
        <v>9.5</v>
      </c>
      <c r="V25">
        <v>10</v>
      </c>
      <c r="W25">
        <v>10.5</v>
      </c>
      <c r="X25">
        <v>11</v>
      </c>
      <c r="Y25">
        <v>11.5</v>
      </c>
    </row>
    <row r="26" spans="1:26" ht="12.75">
      <c r="A26" t="s">
        <v>64</v>
      </c>
      <c r="B26">
        <v>388</v>
      </c>
      <c r="C26">
        <v>393</v>
      </c>
      <c r="D26">
        <v>399</v>
      </c>
      <c r="E26">
        <v>404</v>
      </c>
      <c r="F26">
        <v>409</v>
      </c>
      <c r="G26">
        <v>414</v>
      </c>
      <c r="H26">
        <v>418</v>
      </c>
      <c r="I26">
        <v>422</v>
      </c>
      <c r="J26">
        <v>426</v>
      </c>
      <c r="K26">
        <v>431</v>
      </c>
      <c r="L26">
        <v>435</v>
      </c>
      <c r="M26">
        <v>440</v>
      </c>
      <c r="N26">
        <v>444</v>
      </c>
      <c r="O26">
        <v>448</v>
      </c>
      <c r="P26">
        <v>452</v>
      </c>
      <c r="Q26">
        <v>456</v>
      </c>
      <c r="R26">
        <v>462</v>
      </c>
      <c r="S26">
        <v>465</v>
      </c>
      <c r="T26">
        <v>470</v>
      </c>
      <c r="U26">
        <v>475</v>
      </c>
      <c r="V26">
        <v>479</v>
      </c>
      <c r="W26">
        <v>486</v>
      </c>
      <c r="X26">
        <v>496</v>
      </c>
      <c r="Y26">
        <v>536</v>
      </c>
      <c r="Z26">
        <v>11.2</v>
      </c>
    </row>
    <row r="29" spans="1:17" ht="12.75">
      <c r="A29" s="10" t="s">
        <v>11</v>
      </c>
      <c r="B29" s="10">
        <v>11</v>
      </c>
      <c r="P29" t="s">
        <v>56</v>
      </c>
      <c r="Q29">
        <v>2.6</v>
      </c>
    </row>
    <row r="30" spans="1:9" ht="12.75">
      <c r="A30" t="s">
        <v>55</v>
      </c>
      <c r="B30">
        <v>0</v>
      </c>
      <c r="C30">
        <v>0.5</v>
      </c>
      <c r="D30">
        <v>1</v>
      </c>
      <c r="E30">
        <v>1.5</v>
      </c>
      <c r="F30">
        <v>2</v>
      </c>
      <c r="G30">
        <v>2.5</v>
      </c>
      <c r="H30">
        <v>3</v>
      </c>
      <c r="I30">
        <v>3.5</v>
      </c>
    </row>
    <row r="31" spans="1:9" ht="12.75">
      <c r="A31" t="s">
        <v>64</v>
      </c>
      <c r="B31">
        <v>107</v>
      </c>
      <c r="C31">
        <v>112</v>
      </c>
      <c r="D31">
        <v>116</v>
      </c>
      <c r="E31">
        <v>123</v>
      </c>
      <c r="F31">
        <v>129</v>
      </c>
      <c r="G31">
        <v>139</v>
      </c>
      <c r="H31">
        <v>193</v>
      </c>
      <c r="I31">
        <v>257</v>
      </c>
    </row>
    <row r="34" spans="1:17" ht="12.75">
      <c r="A34" s="10" t="s">
        <v>11</v>
      </c>
      <c r="B34" s="10">
        <v>10</v>
      </c>
      <c r="P34" t="s">
        <v>56</v>
      </c>
      <c r="Q34">
        <v>2.2</v>
      </c>
    </row>
    <row r="35" spans="1:15" ht="12.75">
      <c r="A35" t="s">
        <v>55</v>
      </c>
      <c r="B35">
        <v>0</v>
      </c>
      <c r="C35">
        <v>0.2</v>
      </c>
      <c r="D35">
        <v>0.4</v>
      </c>
      <c r="E35">
        <v>0.6</v>
      </c>
      <c r="F35">
        <v>0.8</v>
      </c>
      <c r="G35">
        <v>1</v>
      </c>
      <c r="H35">
        <v>1.2</v>
      </c>
      <c r="I35">
        <v>1.4</v>
      </c>
      <c r="J35">
        <v>1.6</v>
      </c>
      <c r="K35">
        <v>1.8</v>
      </c>
      <c r="L35">
        <v>2</v>
      </c>
      <c r="M35">
        <v>2.2</v>
      </c>
      <c r="N35">
        <v>2.4</v>
      </c>
      <c r="O35">
        <v>2.6</v>
      </c>
    </row>
    <row r="36" spans="1:15" ht="12.75">
      <c r="A36" t="s">
        <v>64</v>
      </c>
      <c r="B36">
        <v>97</v>
      </c>
      <c r="C36">
        <v>96</v>
      </c>
      <c r="D36">
        <v>99</v>
      </c>
      <c r="E36">
        <v>103</v>
      </c>
      <c r="F36">
        <v>106</v>
      </c>
      <c r="G36">
        <v>109</v>
      </c>
      <c r="H36">
        <v>111</v>
      </c>
      <c r="I36">
        <v>114</v>
      </c>
      <c r="J36">
        <v>118</v>
      </c>
      <c r="K36">
        <v>123</v>
      </c>
      <c r="L36">
        <v>129</v>
      </c>
      <c r="M36">
        <v>138</v>
      </c>
      <c r="N36">
        <v>155</v>
      </c>
      <c r="O36">
        <v>193</v>
      </c>
    </row>
    <row r="39" spans="1:23" ht="12.75">
      <c r="A39" s="10" t="s">
        <v>11</v>
      </c>
      <c r="B39" s="10" t="s">
        <v>8</v>
      </c>
      <c r="P39" t="s">
        <v>56</v>
      </c>
      <c r="Q39">
        <v>2.2</v>
      </c>
      <c r="W39" t="s">
        <v>56</v>
      </c>
    </row>
    <row r="40" spans="1:22" ht="12.75">
      <c r="A40" t="s">
        <v>55</v>
      </c>
      <c r="B40">
        <v>0</v>
      </c>
      <c r="C40">
        <v>0.2</v>
      </c>
      <c r="D40">
        <v>0.4</v>
      </c>
      <c r="E40">
        <v>0.6</v>
      </c>
      <c r="F40">
        <v>0.8</v>
      </c>
      <c r="G40">
        <v>1</v>
      </c>
      <c r="H40">
        <v>1.2</v>
      </c>
      <c r="I40">
        <v>1.4</v>
      </c>
      <c r="J40">
        <v>1.6</v>
      </c>
      <c r="K40">
        <v>1.8</v>
      </c>
      <c r="L40">
        <v>2</v>
      </c>
      <c r="M40">
        <v>2.2</v>
      </c>
      <c r="N40">
        <v>2.4</v>
      </c>
      <c r="O40">
        <v>2.6</v>
      </c>
      <c r="P40">
        <v>2.8</v>
      </c>
      <c r="Q40">
        <v>3</v>
      </c>
      <c r="R40">
        <v>3.2</v>
      </c>
      <c r="S40">
        <v>3.4</v>
      </c>
      <c r="T40">
        <v>3.6</v>
      </c>
      <c r="U40">
        <v>3.8</v>
      </c>
      <c r="V40">
        <v>4</v>
      </c>
    </row>
    <row r="41" spans="1:23" ht="12.75">
      <c r="A41" t="s">
        <v>64</v>
      </c>
      <c r="C41">
        <v>158</v>
      </c>
      <c r="D41">
        <v>161</v>
      </c>
      <c r="E41">
        <v>165</v>
      </c>
      <c r="F41">
        <v>168</v>
      </c>
      <c r="G41">
        <v>171</v>
      </c>
      <c r="H41">
        <v>173</v>
      </c>
      <c r="I41">
        <v>177</v>
      </c>
      <c r="J41">
        <v>179</v>
      </c>
      <c r="K41">
        <v>182</v>
      </c>
      <c r="L41">
        <v>185</v>
      </c>
      <c r="M41">
        <v>188</v>
      </c>
      <c r="N41">
        <v>191</v>
      </c>
      <c r="O41">
        <v>195</v>
      </c>
      <c r="P41">
        <v>199</v>
      </c>
      <c r="Q41">
        <v>201</v>
      </c>
      <c r="R41">
        <v>207</v>
      </c>
      <c r="S41">
        <v>212</v>
      </c>
      <c r="T41">
        <v>219</v>
      </c>
      <c r="U41">
        <v>234</v>
      </c>
      <c r="V41">
        <v>247</v>
      </c>
      <c r="W41">
        <v>3.5</v>
      </c>
    </row>
    <row r="42" spans="3:23" ht="12.75">
      <c r="C42">
        <v>158</v>
      </c>
      <c r="D42">
        <v>161</v>
      </c>
      <c r="E42">
        <v>164</v>
      </c>
      <c r="F42">
        <v>167</v>
      </c>
      <c r="G42">
        <v>170</v>
      </c>
      <c r="H42">
        <v>173</v>
      </c>
      <c r="I42">
        <v>176</v>
      </c>
      <c r="J42">
        <v>179</v>
      </c>
      <c r="K42">
        <v>181</v>
      </c>
      <c r="L42">
        <v>184</v>
      </c>
      <c r="M42">
        <v>187</v>
      </c>
      <c r="N42">
        <v>189</v>
      </c>
      <c r="O42">
        <v>193</v>
      </c>
      <c r="P42">
        <v>196</v>
      </c>
      <c r="Q42">
        <v>199</v>
      </c>
      <c r="R42">
        <v>203</v>
      </c>
      <c r="S42">
        <v>208</v>
      </c>
      <c r="T42">
        <v>215</v>
      </c>
      <c r="U42">
        <v>227</v>
      </c>
      <c r="V42">
        <v>236</v>
      </c>
      <c r="W42">
        <v>3.4</v>
      </c>
    </row>
    <row r="45" spans="1:2" ht="12.75">
      <c r="A45" s="10" t="s">
        <v>11</v>
      </c>
      <c r="B45" s="10">
        <v>7</v>
      </c>
    </row>
    <row r="46" spans="1:22" ht="12.75">
      <c r="A46" t="s">
        <v>55</v>
      </c>
      <c r="C46">
        <v>0.2</v>
      </c>
      <c r="D46">
        <v>0.4</v>
      </c>
      <c r="E46">
        <v>0.6</v>
      </c>
      <c r="F46">
        <v>0.8</v>
      </c>
      <c r="G46">
        <v>1</v>
      </c>
      <c r="H46">
        <v>1.2</v>
      </c>
      <c r="I46">
        <v>1.4</v>
      </c>
      <c r="J46">
        <v>1.6</v>
      </c>
      <c r="K46">
        <v>1.8</v>
      </c>
      <c r="L46">
        <v>2</v>
      </c>
      <c r="M46">
        <v>2.2</v>
      </c>
      <c r="N46">
        <v>2.4</v>
      </c>
      <c r="O46">
        <v>2.6</v>
      </c>
      <c r="P46">
        <v>2.8</v>
      </c>
      <c r="Q46">
        <v>3</v>
      </c>
      <c r="R46">
        <v>3.2</v>
      </c>
      <c r="S46">
        <v>3.4</v>
      </c>
      <c r="T46">
        <v>3.6</v>
      </c>
      <c r="U46">
        <v>3.8</v>
      </c>
      <c r="V46">
        <v>4</v>
      </c>
    </row>
    <row r="47" spans="1:22" ht="12.75">
      <c r="A47" t="s">
        <v>64</v>
      </c>
      <c r="C47">
        <v>167</v>
      </c>
      <c r="D47">
        <v>169</v>
      </c>
      <c r="E47">
        <v>171</v>
      </c>
      <c r="F47">
        <v>174</v>
      </c>
      <c r="G47">
        <v>177</v>
      </c>
      <c r="H47">
        <v>179</v>
      </c>
      <c r="I47">
        <v>182</v>
      </c>
      <c r="J47">
        <v>184</v>
      </c>
      <c r="K47">
        <v>187</v>
      </c>
      <c r="L47">
        <v>189</v>
      </c>
      <c r="M47">
        <v>192</v>
      </c>
      <c r="N47">
        <v>195</v>
      </c>
      <c r="O47">
        <v>198</v>
      </c>
      <c r="P47">
        <v>201</v>
      </c>
      <c r="Q47">
        <v>204</v>
      </c>
      <c r="R47">
        <v>207</v>
      </c>
      <c r="S47">
        <v>210</v>
      </c>
      <c r="T47">
        <v>216</v>
      </c>
      <c r="U47">
        <v>227</v>
      </c>
      <c r="V47">
        <v>244</v>
      </c>
    </row>
    <row r="49" spans="1:10" ht="12.75">
      <c r="A49" t="s">
        <v>55</v>
      </c>
      <c r="C49">
        <v>2.6</v>
      </c>
      <c r="D49">
        <v>2.8</v>
      </c>
      <c r="E49">
        <v>3</v>
      </c>
      <c r="F49">
        <v>3.2</v>
      </c>
      <c r="G49">
        <v>3.4</v>
      </c>
      <c r="H49">
        <v>3.6</v>
      </c>
      <c r="I49">
        <v>3.8</v>
      </c>
      <c r="J49">
        <v>4</v>
      </c>
    </row>
    <row r="50" spans="1:10" ht="12.75">
      <c r="A50" t="s">
        <v>64</v>
      </c>
      <c r="C50">
        <v>200</v>
      </c>
      <c r="D50">
        <v>203</v>
      </c>
      <c r="E50">
        <v>207</v>
      </c>
      <c r="F50">
        <v>211</v>
      </c>
      <c r="G50">
        <v>215</v>
      </c>
      <c r="H50">
        <v>223</v>
      </c>
      <c r="I50">
        <v>241</v>
      </c>
      <c r="J50">
        <v>274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W17" sqref="W17"/>
    </sheetView>
  </sheetViews>
  <sheetFormatPr defaultColWidth="9.00390625" defaultRowHeight="12.75"/>
  <cols>
    <col min="1" max="1" width="14.00390625" style="0" customWidth="1"/>
    <col min="2" max="16384" width="5.75390625" style="0" customWidth="1"/>
  </cols>
  <sheetData>
    <row r="1" ht="15.75">
      <c r="A1" s="1" t="s">
        <v>65</v>
      </c>
    </row>
    <row r="4" spans="1:33" ht="12.75">
      <c r="A4" s="10" t="s">
        <v>11</v>
      </c>
      <c r="B4" s="10">
        <v>1</v>
      </c>
      <c r="AG4" t="s">
        <v>56</v>
      </c>
    </row>
    <row r="5" spans="1:32" ht="12.75">
      <c r="A5" t="s">
        <v>66</v>
      </c>
      <c r="B5">
        <v>0</v>
      </c>
      <c r="C5">
        <v>0.1</v>
      </c>
      <c r="D5">
        <v>0.2</v>
      </c>
      <c r="E5">
        <v>0.3</v>
      </c>
      <c r="F5">
        <v>0.4</v>
      </c>
      <c r="G5">
        <v>0.5</v>
      </c>
      <c r="H5">
        <v>0.6</v>
      </c>
      <c r="I5">
        <v>0.7</v>
      </c>
      <c r="J5">
        <v>0.8</v>
      </c>
      <c r="K5">
        <v>0.9</v>
      </c>
      <c r="L5">
        <v>1</v>
      </c>
      <c r="M5">
        <v>1.1</v>
      </c>
      <c r="N5">
        <v>1.2</v>
      </c>
      <c r="O5">
        <v>1.3</v>
      </c>
      <c r="P5">
        <v>1.4</v>
      </c>
      <c r="Q5">
        <v>1.5</v>
      </c>
      <c r="R5">
        <v>1.6</v>
      </c>
      <c r="S5">
        <v>1.7</v>
      </c>
      <c r="T5">
        <v>1.8</v>
      </c>
      <c r="U5">
        <v>1.9</v>
      </c>
      <c r="V5">
        <v>2</v>
      </c>
      <c r="W5">
        <v>2.1</v>
      </c>
      <c r="X5">
        <v>2.2</v>
      </c>
      <c r="Y5">
        <v>2.3</v>
      </c>
      <c r="Z5">
        <v>2.4</v>
      </c>
      <c r="AA5">
        <v>2.5</v>
      </c>
      <c r="AB5">
        <v>2.6</v>
      </c>
      <c r="AC5">
        <v>2.7</v>
      </c>
      <c r="AD5">
        <v>2.8</v>
      </c>
      <c r="AE5">
        <v>2.9</v>
      </c>
      <c r="AF5">
        <v>3</v>
      </c>
    </row>
    <row r="6" spans="1:33" ht="12.75">
      <c r="A6" t="s">
        <v>67</v>
      </c>
      <c r="C6">
        <v>144</v>
      </c>
      <c r="D6">
        <v>145</v>
      </c>
      <c r="E6">
        <v>145</v>
      </c>
      <c r="F6">
        <v>146</v>
      </c>
      <c r="G6">
        <v>146</v>
      </c>
      <c r="H6">
        <v>147</v>
      </c>
      <c r="I6">
        <v>147</v>
      </c>
      <c r="J6">
        <v>148</v>
      </c>
      <c r="K6">
        <v>149</v>
      </c>
      <c r="L6">
        <v>149</v>
      </c>
      <c r="M6">
        <v>150</v>
      </c>
      <c r="N6">
        <v>151</v>
      </c>
      <c r="O6">
        <v>152</v>
      </c>
      <c r="P6">
        <v>153</v>
      </c>
      <c r="Q6">
        <v>154</v>
      </c>
      <c r="R6">
        <v>155</v>
      </c>
      <c r="S6">
        <v>156</v>
      </c>
      <c r="T6">
        <v>157</v>
      </c>
      <c r="U6">
        <v>158</v>
      </c>
      <c r="V6">
        <v>158</v>
      </c>
      <c r="W6">
        <v>159</v>
      </c>
      <c r="X6">
        <v>161</v>
      </c>
      <c r="Y6">
        <v>162</v>
      </c>
      <c r="Z6">
        <v>163</v>
      </c>
      <c r="AA6">
        <v>164</v>
      </c>
      <c r="AB6">
        <v>165</v>
      </c>
      <c r="AC6">
        <v>166</v>
      </c>
      <c r="AD6">
        <v>167</v>
      </c>
      <c r="AE6">
        <v>168</v>
      </c>
      <c r="AF6">
        <v>169</v>
      </c>
      <c r="AG6">
        <v>1</v>
      </c>
    </row>
    <row r="7" spans="2:33" ht="12.75">
      <c r="B7">
        <v>145</v>
      </c>
      <c r="C7">
        <v>145</v>
      </c>
      <c r="D7">
        <v>146</v>
      </c>
      <c r="E7">
        <v>147</v>
      </c>
      <c r="F7">
        <v>147</v>
      </c>
      <c r="G7">
        <v>148</v>
      </c>
      <c r="H7">
        <v>148</v>
      </c>
      <c r="I7">
        <v>149</v>
      </c>
      <c r="J7">
        <v>150</v>
      </c>
      <c r="K7">
        <v>151</v>
      </c>
      <c r="L7">
        <v>151</v>
      </c>
      <c r="M7">
        <v>152</v>
      </c>
      <c r="N7">
        <v>153</v>
      </c>
      <c r="O7">
        <v>154</v>
      </c>
      <c r="P7">
        <v>155</v>
      </c>
      <c r="Q7">
        <v>156</v>
      </c>
      <c r="AG7">
        <v>0.7</v>
      </c>
    </row>
    <row r="8" spans="2:33" ht="12.75">
      <c r="B8">
        <v>145</v>
      </c>
      <c r="C8">
        <v>145</v>
      </c>
      <c r="D8">
        <v>146</v>
      </c>
      <c r="E8">
        <v>146</v>
      </c>
      <c r="F8">
        <v>147</v>
      </c>
      <c r="G8">
        <v>147</v>
      </c>
      <c r="H8">
        <v>147</v>
      </c>
      <c r="I8">
        <v>148</v>
      </c>
      <c r="J8">
        <v>149</v>
      </c>
      <c r="K8">
        <v>150</v>
      </c>
      <c r="L8">
        <v>151</v>
      </c>
      <c r="M8">
        <v>152</v>
      </c>
      <c r="N8">
        <v>153</v>
      </c>
      <c r="O8">
        <v>154</v>
      </c>
      <c r="P8">
        <v>155</v>
      </c>
      <c r="Q8">
        <v>156</v>
      </c>
      <c r="R8">
        <v>157</v>
      </c>
      <c r="S8">
        <v>158</v>
      </c>
      <c r="T8">
        <v>159</v>
      </c>
      <c r="U8">
        <v>160</v>
      </c>
      <c r="AG8">
        <v>0.7</v>
      </c>
    </row>
    <row r="11" spans="1:23" ht="12.75">
      <c r="A11" s="10" t="s">
        <v>11</v>
      </c>
      <c r="B11" s="10">
        <v>11</v>
      </c>
      <c r="W11" t="s">
        <v>56</v>
      </c>
    </row>
    <row r="12" spans="1:22" ht="12.75">
      <c r="A12" t="s">
        <v>66</v>
      </c>
      <c r="B12">
        <v>0</v>
      </c>
      <c r="C12">
        <v>0.1</v>
      </c>
      <c r="D12">
        <v>0.2</v>
      </c>
      <c r="E12">
        <v>0.3</v>
      </c>
      <c r="F12">
        <v>0.4</v>
      </c>
      <c r="G12">
        <v>0.5</v>
      </c>
      <c r="H12">
        <v>0.6</v>
      </c>
      <c r="I12">
        <v>0.7</v>
      </c>
      <c r="J12">
        <v>0.8</v>
      </c>
      <c r="K12">
        <v>0.9</v>
      </c>
      <c r="L12">
        <v>1</v>
      </c>
      <c r="M12">
        <v>1.1</v>
      </c>
      <c r="N12">
        <v>1.2</v>
      </c>
      <c r="O12">
        <v>1.3</v>
      </c>
      <c r="P12">
        <v>1.4</v>
      </c>
      <c r="Q12">
        <v>1.5</v>
      </c>
      <c r="R12">
        <v>1.6</v>
      </c>
      <c r="S12">
        <v>1.7</v>
      </c>
      <c r="T12">
        <v>1.8</v>
      </c>
      <c r="U12">
        <v>1.9</v>
      </c>
      <c r="V12">
        <v>2</v>
      </c>
    </row>
    <row r="13" spans="1:23" ht="12.75">
      <c r="A13" t="s">
        <v>67</v>
      </c>
      <c r="B13">
        <v>108</v>
      </c>
      <c r="C13">
        <v>108</v>
      </c>
      <c r="D13">
        <v>108</v>
      </c>
      <c r="E13">
        <v>109</v>
      </c>
      <c r="F13">
        <v>110</v>
      </c>
      <c r="G13">
        <v>110</v>
      </c>
      <c r="H13">
        <v>111</v>
      </c>
      <c r="I13">
        <v>112</v>
      </c>
      <c r="J13">
        <v>113</v>
      </c>
      <c r="K13">
        <v>114</v>
      </c>
      <c r="L13">
        <v>115</v>
      </c>
      <c r="M13">
        <v>116</v>
      </c>
      <c r="N13">
        <v>117</v>
      </c>
      <c r="O13">
        <v>118</v>
      </c>
      <c r="P13">
        <v>119</v>
      </c>
      <c r="Q13">
        <v>120</v>
      </c>
      <c r="W13">
        <v>0.5</v>
      </c>
    </row>
    <row r="14" spans="2:23" ht="12.75">
      <c r="B14">
        <v>108</v>
      </c>
      <c r="C14">
        <v>108</v>
      </c>
      <c r="D14">
        <v>108</v>
      </c>
      <c r="E14">
        <v>109</v>
      </c>
      <c r="F14">
        <v>109</v>
      </c>
      <c r="G14">
        <v>110</v>
      </c>
      <c r="H14">
        <v>110</v>
      </c>
      <c r="I14">
        <v>111</v>
      </c>
      <c r="J14">
        <v>111</v>
      </c>
      <c r="K14">
        <v>112</v>
      </c>
      <c r="L14">
        <v>113</v>
      </c>
      <c r="M14">
        <v>114</v>
      </c>
      <c r="N14">
        <v>115</v>
      </c>
      <c r="O14">
        <v>116</v>
      </c>
      <c r="P14">
        <v>117</v>
      </c>
      <c r="Q14">
        <v>118</v>
      </c>
      <c r="R14">
        <v>119</v>
      </c>
      <c r="S14">
        <v>120</v>
      </c>
      <c r="T14">
        <v>121</v>
      </c>
      <c r="U14">
        <v>122</v>
      </c>
      <c r="V14">
        <v>123</v>
      </c>
      <c r="W14">
        <v>0.8</v>
      </c>
    </row>
    <row r="15" spans="2:23" ht="12.75">
      <c r="B15">
        <v>109</v>
      </c>
      <c r="C15">
        <v>109</v>
      </c>
      <c r="D15">
        <v>109</v>
      </c>
      <c r="E15">
        <v>110</v>
      </c>
      <c r="F15">
        <v>110</v>
      </c>
      <c r="G15">
        <v>111</v>
      </c>
      <c r="H15">
        <v>112</v>
      </c>
      <c r="I15">
        <v>113</v>
      </c>
      <c r="J15">
        <v>113</v>
      </c>
      <c r="K15">
        <v>114</v>
      </c>
      <c r="L15">
        <v>115</v>
      </c>
      <c r="M15">
        <v>116</v>
      </c>
      <c r="N15">
        <v>117</v>
      </c>
      <c r="O15">
        <v>118</v>
      </c>
      <c r="P15">
        <v>119</v>
      </c>
      <c r="Q15">
        <v>120</v>
      </c>
      <c r="W15">
        <v>0.6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11"/>
  <sheetViews>
    <sheetView workbookViewId="0" topLeftCell="A1">
      <selection activeCell="A8" sqref="A8"/>
    </sheetView>
  </sheetViews>
  <sheetFormatPr defaultColWidth="9.00390625" defaultRowHeight="12.75"/>
  <cols>
    <col min="1" max="1" width="11.875" style="0" customWidth="1"/>
    <col min="2" max="16384" width="5.75390625" style="0" customWidth="1"/>
  </cols>
  <sheetData>
    <row r="4" spans="1:12" ht="12.75">
      <c r="A4" t="s">
        <v>11</v>
      </c>
      <c r="B4">
        <v>1</v>
      </c>
      <c r="C4">
        <v>2</v>
      </c>
      <c r="D4" t="s">
        <v>12</v>
      </c>
      <c r="E4" t="s">
        <v>13</v>
      </c>
      <c r="F4">
        <v>11</v>
      </c>
      <c r="G4">
        <v>5</v>
      </c>
      <c r="H4">
        <v>10</v>
      </c>
      <c r="I4" t="s">
        <v>8</v>
      </c>
      <c r="J4" t="s">
        <v>7</v>
      </c>
      <c r="K4">
        <v>7</v>
      </c>
      <c r="L4">
        <v>24</v>
      </c>
    </row>
    <row r="5" spans="1:12" ht="12.75">
      <c r="A5" t="s">
        <v>68</v>
      </c>
      <c r="B5">
        <v>420</v>
      </c>
      <c r="C5">
        <v>415</v>
      </c>
      <c r="D5">
        <v>399</v>
      </c>
      <c r="E5">
        <v>400</v>
      </c>
      <c r="G5">
        <v>421</v>
      </c>
      <c r="H5">
        <v>377</v>
      </c>
      <c r="K5">
        <v>353</v>
      </c>
      <c r="L5">
        <v>381</v>
      </c>
    </row>
    <row r="6" spans="1:11" ht="12.75">
      <c r="A6" t="s">
        <v>69</v>
      </c>
      <c r="B6">
        <v>417</v>
      </c>
      <c r="D6">
        <v>357</v>
      </c>
      <c r="E6">
        <v>379</v>
      </c>
      <c r="K6">
        <v>318</v>
      </c>
    </row>
    <row r="7" spans="1:5" ht="12.75">
      <c r="A7" t="s">
        <v>70</v>
      </c>
      <c r="B7">
        <v>415</v>
      </c>
      <c r="D7">
        <v>342</v>
      </c>
      <c r="E7">
        <v>367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spans="1:3" ht="12.75">
      <c r="A11" t="s">
        <v>74</v>
      </c>
      <c r="B11">
        <f>-LOG(Св!B24)+3</f>
        <v>3.154901959985743</v>
      </c>
      <c r="C11">
        <f>-LOG(Св!C24)+3</f>
        <v>3.170696227168975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B3">
      <selection activeCell="AR26" sqref="AR26"/>
    </sheetView>
  </sheetViews>
  <sheetFormatPr defaultColWidth="9.00390625" defaultRowHeight="12.75"/>
  <cols>
    <col min="1" max="1" width="16.00390625" style="0" customWidth="1"/>
    <col min="2" max="16384" width="5.75390625" style="0" customWidth="1"/>
  </cols>
  <sheetData>
    <row r="1" ht="15.75">
      <c r="A1" s="1" t="s">
        <v>75</v>
      </c>
    </row>
    <row r="2" ht="12.75">
      <c r="A2" t="s">
        <v>76</v>
      </c>
    </row>
    <row r="3" spans="1:3" ht="12.75">
      <c r="A3" t="s">
        <v>77</v>
      </c>
      <c r="B3">
        <v>100</v>
      </c>
      <c r="C3" t="s">
        <v>3</v>
      </c>
    </row>
    <row r="4" spans="1:3" ht="12.75">
      <c r="A4" t="s">
        <v>6</v>
      </c>
      <c r="B4">
        <v>0.025</v>
      </c>
      <c r="C4" t="s">
        <v>78</v>
      </c>
    </row>
    <row r="6" spans="1:2" ht="12.75">
      <c r="A6" s="10" t="s">
        <v>11</v>
      </c>
      <c r="B6" s="10">
        <v>1</v>
      </c>
    </row>
    <row r="7" spans="1:29" ht="12.75">
      <c r="A7" t="s">
        <v>55</v>
      </c>
      <c r="B7">
        <v>0</v>
      </c>
      <c r="C7">
        <v>0.2</v>
      </c>
      <c r="D7">
        <v>0.4</v>
      </c>
      <c r="E7">
        <v>0.6</v>
      </c>
      <c r="F7">
        <v>0.8</v>
      </c>
      <c r="G7">
        <v>1</v>
      </c>
      <c r="H7">
        <v>1.2</v>
      </c>
      <c r="I7">
        <v>1.4</v>
      </c>
      <c r="J7">
        <v>1.6</v>
      </c>
      <c r="K7">
        <v>1.8</v>
      </c>
      <c r="L7">
        <v>2</v>
      </c>
      <c r="M7">
        <v>2.2</v>
      </c>
      <c r="N7">
        <v>2.4</v>
      </c>
      <c r="O7">
        <v>2.6</v>
      </c>
      <c r="P7">
        <v>2.8</v>
      </c>
      <c r="Q7">
        <v>3</v>
      </c>
      <c r="R7">
        <v>3.2</v>
      </c>
      <c r="S7">
        <v>3.4</v>
      </c>
      <c r="T7">
        <v>3.6</v>
      </c>
      <c r="U7">
        <v>3.8</v>
      </c>
      <c r="V7">
        <v>4</v>
      </c>
      <c r="W7">
        <v>4.2</v>
      </c>
      <c r="X7">
        <v>4.4</v>
      </c>
      <c r="Y7">
        <v>4.6</v>
      </c>
      <c r="Z7">
        <v>4.8</v>
      </c>
      <c r="AA7">
        <v>5</v>
      </c>
      <c r="AB7" t="s">
        <v>79</v>
      </c>
      <c r="AC7" t="s">
        <v>80</v>
      </c>
    </row>
    <row r="8" spans="1:30" ht="12.75">
      <c r="A8" t="s">
        <v>81</v>
      </c>
      <c r="B8">
        <v>419</v>
      </c>
      <c r="C8">
        <v>417</v>
      </c>
      <c r="D8">
        <v>416</v>
      </c>
      <c r="E8">
        <v>415</v>
      </c>
      <c r="F8">
        <v>413</v>
      </c>
      <c r="G8">
        <v>412</v>
      </c>
      <c r="H8">
        <v>410</v>
      </c>
      <c r="I8">
        <v>408</v>
      </c>
      <c r="J8">
        <v>407</v>
      </c>
      <c r="K8">
        <v>404</v>
      </c>
      <c r="L8">
        <v>402</v>
      </c>
      <c r="M8">
        <v>399</v>
      </c>
      <c r="N8">
        <v>397</v>
      </c>
      <c r="O8">
        <v>393</v>
      </c>
      <c r="P8">
        <v>387</v>
      </c>
      <c r="Q8">
        <v>382</v>
      </c>
      <c r="R8">
        <v>376</v>
      </c>
      <c r="S8">
        <v>370</v>
      </c>
      <c r="T8">
        <v>365</v>
      </c>
      <c r="U8">
        <v>362</v>
      </c>
      <c r="V8">
        <v>357</v>
      </c>
      <c r="W8">
        <v>353</v>
      </c>
      <c r="X8">
        <v>342</v>
      </c>
      <c r="Y8">
        <v>327</v>
      </c>
      <c r="Z8">
        <v>322</v>
      </c>
      <c r="AA8">
        <v>319</v>
      </c>
      <c r="AB8">
        <v>3.05</v>
      </c>
      <c r="AC8">
        <v>4.4</v>
      </c>
      <c r="AD8" t="s">
        <v>82</v>
      </c>
    </row>
    <row r="9" spans="2:30" ht="12.75">
      <c r="B9">
        <v>405</v>
      </c>
      <c r="C9">
        <v>403</v>
      </c>
      <c r="D9">
        <v>402</v>
      </c>
      <c r="E9">
        <v>401</v>
      </c>
      <c r="F9">
        <v>400</v>
      </c>
      <c r="G9">
        <v>398</v>
      </c>
      <c r="H9">
        <v>397</v>
      </c>
      <c r="I9">
        <v>396</v>
      </c>
      <c r="J9">
        <v>394</v>
      </c>
      <c r="K9">
        <v>392</v>
      </c>
      <c r="L9">
        <v>390</v>
      </c>
      <c r="M9">
        <v>387</v>
      </c>
      <c r="N9">
        <v>384</v>
      </c>
      <c r="O9">
        <v>381</v>
      </c>
      <c r="P9">
        <v>376</v>
      </c>
      <c r="Q9">
        <v>368</v>
      </c>
      <c r="R9">
        <v>362</v>
      </c>
      <c r="S9">
        <v>356</v>
      </c>
      <c r="T9">
        <v>352</v>
      </c>
      <c r="U9">
        <v>348</v>
      </c>
      <c r="V9">
        <v>345</v>
      </c>
      <c r="W9">
        <v>333</v>
      </c>
      <c r="X9">
        <v>323</v>
      </c>
      <c r="Y9">
        <v>320</v>
      </c>
      <c r="Z9">
        <v>318</v>
      </c>
      <c r="AA9">
        <v>317</v>
      </c>
      <c r="AB9">
        <v>3.1</v>
      </c>
      <c r="AC9">
        <v>4.2</v>
      </c>
      <c r="AD9" t="s">
        <v>82</v>
      </c>
    </row>
    <row r="10" spans="2:30" ht="12.75">
      <c r="B10">
        <v>410</v>
      </c>
      <c r="C10">
        <v>408</v>
      </c>
      <c r="D10">
        <v>407</v>
      </c>
      <c r="E10">
        <v>405</v>
      </c>
      <c r="F10">
        <v>404</v>
      </c>
      <c r="G10">
        <v>403</v>
      </c>
      <c r="H10">
        <v>401</v>
      </c>
      <c r="I10">
        <v>400</v>
      </c>
      <c r="J10">
        <v>398</v>
      </c>
      <c r="K10">
        <v>396</v>
      </c>
      <c r="L10">
        <v>394</v>
      </c>
      <c r="M10">
        <v>392</v>
      </c>
      <c r="N10">
        <v>389</v>
      </c>
      <c r="O10">
        <v>387</v>
      </c>
      <c r="P10">
        <v>383</v>
      </c>
      <c r="Q10">
        <v>377</v>
      </c>
      <c r="R10">
        <v>371</v>
      </c>
      <c r="S10">
        <v>364</v>
      </c>
      <c r="T10">
        <v>358</v>
      </c>
      <c r="U10">
        <v>353</v>
      </c>
      <c r="V10">
        <v>349</v>
      </c>
      <c r="W10">
        <v>344</v>
      </c>
      <c r="X10">
        <v>338</v>
      </c>
      <c r="Y10">
        <v>320</v>
      </c>
      <c r="Z10">
        <v>315</v>
      </c>
      <c r="AA10">
        <v>314</v>
      </c>
      <c r="AB10">
        <v>3.2</v>
      </c>
      <c r="AC10">
        <v>4.5</v>
      </c>
      <c r="AD10" t="s">
        <v>82</v>
      </c>
    </row>
    <row r="11" spans="2:30" ht="12.75">
      <c r="B11">
        <v>402</v>
      </c>
      <c r="C11">
        <v>400</v>
      </c>
      <c r="D11">
        <v>399</v>
      </c>
      <c r="E11">
        <v>398</v>
      </c>
      <c r="F11">
        <v>396</v>
      </c>
      <c r="G11">
        <v>395</v>
      </c>
      <c r="H11">
        <v>393</v>
      </c>
      <c r="I11">
        <v>391</v>
      </c>
      <c r="J11">
        <v>390</v>
      </c>
      <c r="K11">
        <v>388</v>
      </c>
      <c r="L11">
        <v>386</v>
      </c>
      <c r="M11">
        <v>384</v>
      </c>
      <c r="N11">
        <v>381</v>
      </c>
      <c r="O11">
        <v>378</v>
      </c>
      <c r="P11">
        <v>373</v>
      </c>
      <c r="Q11">
        <v>366</v>
      </c>
      <c r="R11">
        <v>359</v>
      </c>
      <c r="S11">
        <v>352</v>
      </c>
      <c r="T11">
        <v>348</v>
      </c>
      <c r="U11">
        <v>343</v>
      </c>
      <c r="V11">
        <v>338</v>
      </c>
      <c r="W11">
        <v>332</v>
      </c>
      <c r="X11">
        <v>318</v>
      </c>
      <c r="Y11">
        <v>310</v>
      </c>
      <c r="Z11">
        <v>309</v>
      </c>
      <c r="AA11">
        <v>308</v>
      </c>
      <c r="AB11">
        <v>3.05</v>
      </c>
      <c r="AC11">
        <v>4.3</v>
      </c>
      <c r="AD11" t="s">
        <v>83</v>
      </c>
    </row>
    <row r="14" spans="1:2" ht="12.75">
      <c r="A14" s="10" t="s">
        <v>11</v>
      </c>
      <c r="B14" s="10">
        <v>2</v>
      </c>
    </row>
    <row r="15" spans="1:29" ht="12.75">
      <c r="A15" t="s">
        <v>55</v>
      </c>
      <c r="B15">
        <v>0</v>
      </c>
      <c r="C15">
        <v>0.2</v>
      </c>
      <c r="D15">
        <v>0.4</v>
      </c>
      <c r="E15">
        <v>0.6</v>
      </c>
      <c r="F15">
        <v>0.8</v>
      </c>
      <c r="G15">
        <v>1</v>
      </c>
      <c r="H15">
        <v>1.2</v>
      </c>
      <c r="I15">
        <v>1.4</v>
      </c>
      <c r="J15">
        <v>1.6</v>
      </c>
      <c r="K15">
        <v>1.8</v>
      </c>
      <c r="L15">
        <v>2</v>
      </c>
      <c r="M15">
        <v>2.2</v>
      </c>
      <c r="N15">
        <v>2.4</v>
      </c>
      <c r="O15">
        <v>2.6</v>
      </c>
      <c r="P15">
        <v>2.8</v>
      </c>
      <c r="Q15">
        <v>3</v>
      </c>
      <c r="R15">
        <v>3.2</v>
      </c>
      <c r="S15">
        <v>3.4</v>
      </c>
      <c r="T15">
        <v>3.6</v>
      </c>
      <c r="U15">
        <v>3.8</v>
      </c>
      <c r="V15">
        <v>4</v>
      </c>
      <c r="W15">
        <v>4.2</v>
      </c>
      <c r="X15">
        <v>4.4</v>
      </c>
      <c r="Y15">
        <v>4.6</v>
      </c>
      <c r="Z15">
        <v>4.8</v>
      </c>
      <c r="AA15">
        <v>5</v>
      </c>
      <c r="AB15" t="s">
        <v>79</v>
      </c>
      <c r="AC15" t="s">
        <v>80</v>
      </c>
    </row>
    <row r="16" spans="1:30" ht="12.75">
      <c r="A16" t="s">
        <v>81</v>
      </c>
      <c r="B16">
        <v>395</v>
      </c>
      <c r="C16">
        <v>394</v>
      </c>
      <c r="D16">
        <v>393</v>
      </c>
      <c r="E16">
        <v>391</v>
      </c>
      <c r="F16">
        <v>390</v>
      </c>
      <c r="G16">
        <v>388</v>
      </c>
      <c r="H16">
        <v>386</v>
      </c>
      <c r="I16">
        <v>385</v>
      </c>
      <c r="J16">
        <v>383</v>
      </c>
      <c r="K16">
        <v>380</v>
      </c>
      <c r="L16">
        <v>377</v>
      </c>
      <c r="M16">
        <v>375</v>
      </c>
      <c r="N16">
        <v>371</v>
      </c>
      <c r="O16">
        <v>366</v>
      </c>
      <c r="P16">
        <v>360</v>
      </c>
      <c r="Q16">
        <v>349</v>
      </c>
      <c r="R16">
        <v>342</v>
      </c>
      <c r="S16">
        <v>337</v>
      </c>
      <c r="T16">
        <v>333</v>
      </c>
      <c r="U16">
        <v>330</v>
      </c>
      <c r="V16">
        <v>327</v>
      </c>
      <c r="W16">
        <v>322</v>
      </c>
      <c r="X16">
        <v>304</v>
      </c>
      <c r="Y16">
        <v>300</v>
      </c>
      <c r="Z16">
        <v>299</v>
      </c>
      <c r="AA16">
        <v>298</v>
      </c>
      <c r="AB16">
        <v>2.9</v>
      </c>
      <c r="AC16">
        <v>4.3</v>
      </c>
      <c r="AD16" t="s">
        <v>83</v>
      </c>
    </row>
    <row r="17" spans="2:30" ht="12.75">
      <c r="B17">
        <v>383</v>
      </c>
      <c r="C17">
        <v>380</v>
      </c>
      <c r="D17">
        <v>378</v>
      </c>
      <c r="E17">
        <v>376</v>
      </c>
      <c r="F17">
        <v>374</v>
      </c>
      <c r="G17">
        <v>372</v>
      </c>
      <c r="H17">
        <v>370</v>
      </c>
      <c r="I17">
        <v>369</v>
      </c>
      <c r="J17">
        <v>367</v>
      </c>
      <c r="K17">
        <v>365</v>
      </c>
      <c r="L17">
        <v>363</v>
      </c>
      <c r="M17">
        <v>360</v>
      </c>
      <c r="N17">
        <v>356</v>
      </c>
      <c r="O17">
        <v>350</v>
      </c>
      <c r="P17">
        <v>342</v>
      </c>
      <c r="Q17">
        <v>337</v>
      </c>
      <c r="R17">
        <v>335</v>
      </c>
      <c r="S17">
        <v>330</v>
      </c>
      <c r="T17">
        <v>326</v>
      </c>
      <c r="U17">
        <v>323</v>
      </c>
      <c r="V17">
        <v>320</v>
      </c>
      <c r="W17">
        <v>314</v>
      </c>
      <c r="X17">
        <v>303</v>
      </c>
      <c r="Y17">
        <v>301</v>
      </c>
      <c r="Z17">
        <v>300</v>
      </c>
      <c r="AA17">
        <v>299</v>
      </c>
      <c r="AB17">
        <v>2.7</v>
      </c>
      <c r="AC17">
        <v>4.3</v>
      </c>
      <c r="AD17" t="s">
        <v>83</v>
      </c>
    </row>
    <row r="18" spans="2:30" ht="12.75">
      <c r="B18">
        <v>376</v>
      </c>
      <c r="C18">
        <v>371</v>
      </c>
      <c r="D18">
        <v>368</v>
      </c>
      <c r="E18">
        <v>366</v>
      </c>
      <c r="F18">
        <v>364</v>
      </c>
      <c r="G18">
        <v>361</v>
      </c>
      <c r="H18">
        <v>360</v>
      </c>
      <c r="I18">
        <v>358</v>
      </c>
      <c r="J18">
        <v>356</v>
      </c>
      <c r="K18">
        <v>353</v>
      </c>
      <c r="L18">
        <v>350</v>
      </c>
      <c r="M18">
        <v>347</v>
      </c>
      <c r="N18">
        <v>343</v>
      </c>
      <c r="O18">
        <v>339</v>
      </c>
      <c r="P18">
        <v>334</v>
      </c>
      <c r="Q18">
        <v>328</v>
      </c>
      <c r="R18">
        <v>324</v>
      </c>
      <c r="S18">
        <v>322</v>
      </c>
      <c r="T18">
        <v>317</v>
      </c>
      <c r="U18">
        <v>313</v>
      </c>
      <c r="V18">
        <v>310</v>
      </c>
      <c r="W18">
        <v>300</v>
      </c>
      <c r="X18">
        <v>298</v>
      </c>
      <c r="Y18">
        <v>297</v>
      </c>
      <c r="Z18">
        <v>297</v>
      </c>
      <c r="AA18">
        <v>296</v>
      </c>
      <c r="AB18">
        <v>2.8</v>
      </c>
      <c r="AC18">
        <v>4.1</v>
      </c>
      <c r="AD18" t="s">
        <v>83</v>
      </c>
    </row>
    <row r="19" spans="2:30" ht="12.75">
      <c r="B19">
        <v>368</v>
      </c>
      <c r="C19">
        <v>366</v>
      </c>
      <c r="D19">
        <v>364</v>
      </c>
      <c r="E19">
        <v>362</v>
      </c>
      <c r="F19">
        <v>361</v>
      </c>
      <c r="G19">
        <v>359</v>
      </c>
      <c r="H19">
        <v>358</v>
      </c>
      <c r="I19">
        <v>356</v>
      </c>
      <c r="J19">
        <v>355</v>
      </c>
      <c r="K19">
        <v>353</v>
      </c>
      <c r="L19">
        <v>350</v>
      </c>
      <c r="M19">
        <v>347</v>
      </c>
      <c r="N19">
        <v>344</v>
      </c>
      <c r="O19">
        <v>340</v>
      </c>
      <c r="P19">
        <v>334</v>
      </c>
      <c r="Q19">
        <v>330</v>
      </c>
      <c r="R19">
        <v>326</v>
      </c>
      <c r="S19">
        <v>322</v>
      </c>
      <c r="T19">
        <v>319</v>
      </c>
      <c r="U19">
        <v>316</v>
      </c>
      <c r="V19">
        <v>313</v>
      </c>
      <c r="W19">
        <v>302</v>
      </c>
      <c r="X19">
        <v>300</v>
      </c>
      <c r="Y19">
        <v>298</v>
      </c>
      <c r="Z19">
        <v>298</v>
      </c>
      <c r="AA19">
        <v>297</v>
      </c>
      <c r="AB19">
        <v>2.8</v>
      </c>
      <c r="AC19">
        <v>4.1</v>
      </c>
      <c r="AD19" t="s">
        <v>82</v>
      </c>
    </row>
    <row r="22" spans="1:28" ht="12.75">
      <c r="A22" s="10" t="s">
        <v>11</v>
      </c>
      <c r="B22" s="10" t="s">
        <v>12</v>
      </c>
      <c r="AA22" t="s">
        <v>79</v>
      </c>
      <c r="AB22" t="s">
        <v>80</v>
      </c>
    </row>
    <row r="23" spans="1:26" ht="12.75">
      <c r="A23" t="s">
        <v>55</v>
      </c>
      <c r="B23">
        <v>0</v>
      </c>
      <c r="C23">
        <v>0.5</v>
      </c>
      <c r="D23">
        <v>1</v>
      </c>
      <c r="E23">
        <v>1.5</v>
      </c>
      <c r="F23">
        <v>2</v>
      </c>
      <c r="G23">
        <v>2.5</v>
      </c>
      <c r="H23">
        <v>3</v>
      </c>
      <c r="I23">
        <v>3.5</v>
      </c>
      <c r="J23">
        <v>4</v>
      </c>
      <c r="K23">
        <v>4.5</v>
      </c>
      <c r="L23">
        <v>5</v>
      </c>
      <c r="M23">
        <v>5.5</v>
      </c>
      <c r="N23">
        <v>6</v>
      </c>
      <c r="O23">
        <v>6.5</v>
      </c>
      <c r="P23">
        <v>7</v>
      </c>
      <c r="Q23">
        <v>7.5</v>
      </c>
      <c r="R23">
        <v>8</v>
      </c>
      <c r="S23">
        <v>8.5</v>
      </c>
      <c r="T23">
        <v>9</v>
      </c>
      <c r="U23">
        <v>9.5</v>
      </c>
      <c r="V23">
        <v>10</v>
      </c>
      <c r="W23">
        <v>10.5</v>
      </c>
      <c r="X23">
        <v>11</v>
      </c>
      <c r="Y23">
        <v>11.5</v>
      </c>
      <c r="Z23">
        <v>12</v>
      </c>
    </row>
    <row r="24" spans="1:28" ht="12.75">
      <c r="A24" t="s">
        <v>81</v>
      </c>
      <c r="B24">
        <v>381</v>
      </c>
      <c r="C24">
        <v>373</v>
      </c>
      <c r="D24">
        <v>367</v>
      </c>
      <c r="E24">
        <v>361</v>
      </c>
      <c r="F24">
        <v>355</v>
      </c>
      <c r="G24">
        <v>351</v>
      </c>
      <c r="H24">
        <v>348</v>
      </c>
      <c r="I24">
        <v>346</v>
      </c>
      <c r="J24">
        <v>342</v>
      </c>
      <c r="K24">
        <v>340</v>
      </c>
      <c r="L24">
        <v>333</v>
      </c>
      <c r="M24">
        <v>330</v>
      </c>
      <c r="N24">
        <v>326</v>
      </c>
      <c r="O24">
        <v>322</v>
      </c>
      <c r="P24">
        <v>317</v>
      </c>
      <c r="Q24">
        <v>313</v>
      </c>
      <c r="R24">
        <v>310</v>
      </c>
      <c r="S24">
        <v>307</v>
      </c>
      <c r="T24">
        <v>305</v>
      </c>
      <c r="U24">
        <v>303</v>
      </c>
      <c r="V24">
        <v>302</v>
      </c>
      <c r="W24">
        <v>300</v>
      </c>
      <c r="X24">
        <v>290</v>
      </c>
      <c r="Y24">
        <v>286</v>
      </c>
      <c r="Z24">
        <v>286</v>
      </c>
      <c r="AA24">
        <v>7</v>
      </c>
      <c r="AB24">
        <v>10.8</v>
      </c>
    </row>
    <row r="25" spans="2:28" ht="12.75">
      <c r="B25">
        <v>349</v>
      </c>
      <c r="C25">
        <v>345</v>
      </c>
      <c r="D25">
        <v>343</v>
      </c>
      <c r="E25">
        <v>342</v>
      </c>
      <c r="F25">
        <v>339</v>
      </c>
      <c r="G25">
        <v>335</v>
      </c>
      <c r="H25">
        <v>334</v>
      </c>
      <c r="I25">
        <v>330</v>
      </c>
      <c r="J25">
        <v>328</v>
      </c>
      <c r="K25">
        <v>326</v>
      </c>
      <c r="L25">
        <v>324</v>
      </c>
      <c r="M25">
        <v>322</v>
      </c>
      <c r="N25">
        <v>319</v>
      </c>
      <c r="O25">
        <v>316</v>
      </c>
      <c r="P25">
        <v>312</v>
      </c>
      <c r="Q25">
        <v>309</v>
      </c>
      <c r="R25">
        <v>306</v>
      </c>
      <c r="S25">
        <v>305</v>
      </c>
      <c r="T25">
        <v>303</v>
      </c>
      <c r="U25">
        <v>302</v>
      </c>
      <c r="V25">
        <v>299</v>
      </c>
      <c r="W25">
        <v>298</v>
      </c>
      <c r="X25">
        <v>290</v>
      </c>
      <c r="Y25">
        <v>289</v>
      </c>
      <c r="Z25">
        <v>289</v>
      </c>
      <c r="AA25">
        <v>7</v>
      </c>
      <c r="AB25">
        <v>10.7</v>
      </c>
    </row>
    <row r="26" spans="2:28" ht="12.75">
      <c r="B26">
        <v>348</v>
      </c>
      <c r="C26">
        <v>343</v>
      </c>
      <c r="D26">
        <v>341</v>
      </c>
      <c r="E26">
        <v>339</v>
      </c>
      <c r="F26">
        <v>336</v>
      </c>
      <c r="G26">
        <v>334</v>
      </c>
      <c r="H26">
        <v>333</v>
      </c>
      <c r="I26">
        <v>332</v>
      </c>
      <c r="J26">
        <v>330</v>
      </c>
      <c r="K26">
        <v>327</v>
      </c>
      <c r="L26">
        <v>325</v>
      </c>
      <c r="M26">
        <v>323</v>
      </c>
      <c r="N26">
        <v>321</v>
      </c>
      <c r="O26">
        <v>318</v>
      </c>
      <c r="P26">
        <v>315</v>
      </c>
      <c r="Q26">
        <v>311</v>
      </c>
      <c r="R26">
        <v>309</v>
      </c>
      <c r="S26">
        <v>307</v>
      </c>
      <c r="T26">
        <v>306</v>
      </c>
      <c r="U26">
        <v>304</v>
      </c>
      <c r="V26">
        <v>303</v>
      </c>
      <c r="W26">
        <v>300</v>
      </c>
      <c r="X26">
        <v>299</v>
      </c>
      <c r="Y26">
        <v>293</v>
      </c>
      <c r="Z26">
        <v>293</v>
      </c>
      <c r="AA26">
        <v>7.2</v>
      </c>
      <c r="AB26">
        <v>11.2</v>
      </c>
    </row>
    <row r="29" spans="1:32" ht="12.75">
      <c r="A29" s="10" t="s">
        <v>11</v>
      </c>
      <c r="B29" s="10" t="s">
        <v>13</v>
      </c>
      <c r="AE29" t="s">
        <v>79</v>
      </c>
      <c r="AF29" t="s">
        <v>80</v>
      </c>
    </row>
    <row r="30" spans="1:30" ht="12.75">
      <c r="A30" t="s">
        <v>55</v>
      </c>
      <c r="B30">
        <v>0</v>
      </c>
      <c r="C30">
        <v>0.2</v>
      </c>
      <c r="D30">
        <v>0.4</v>
      </c>
      <c r="E30">
        <v>0.6</v>
      </c>
      <c r="F30">
        <v>0.8</v>
      </c>
      <c r="G30">
        <v>1</v>
      </c>
      <c r="H30">
        <v>1.2</v>
      </c>
      <c r="I30">
        <v>1.4</v>
      </c>
      <c r="J30">
        <v>1.6</v>
      </c>
      <c r="K30">
        <v>1.8</v>
      </c>
      <c r="L30">
        <v>2</v>
      </c>
      <c r="M30">
        <v>2.2</v>
      </c>
      <c r="N30">
        <v>2.4</v>
      </c>
      <c r="O30">
        <v>2.6</v>
      </c>
      <c r="P30">
        <v>2.8</v>
      </c>
      <c r="Q30">
        <v>3</v>
      </c>
      <c r="R30">
        <v>3.2</v>
      </c>
      <c r="S30">
        <v>3.4</v>
      </c>
      <c r="T30">
        <v>3.6</v>
      </c>
      <c r="U30">
        <v>3.8</v>
      </c>
      <c r="V30">
        <v>4</v>
      </c>
      <c r="W30">
        <v>4.2</v>
      </c>
      <c r="X30">
        <v>4.4</v>
      </c>
      <c r="Y30">
        <v>4.6</v>
      </c>
      <c r="Z30">
        <v>4.8</v>
      </c>
      <c r="AA30">
        <v>5</v>
      </c>
      <c r="AB30">
        <v>5.2</v>
      </c>
      <c r="AC30">
        <v>5.4</v>
      </c>
      <c r="AD30">
        <v>5.6</v>
      </c>
    </row>
    <row r="31" spans="1:32" ht="12.75">
      <c r="A31" t="s">
        <v>81</v>
      </c>
      <c r="B31">
        <v>386</v>
      </c>
      <c r="C31">
        <v>383</v>
      </c>
      <c r="D31">
        <v>379</v>
      </c>
      <c r="E31">
        <v>375</v>
      </c>
      <c r="F31">
        <v>371</v>
      </c>
      <c r="G31">
        <v>368</v>
      </c>
      <c r="H31">
        <v>366</v>
      </c>
      <c r="I31">
        <v>364</v>
      </c>
      <c r="J31">
        <v>360</v>
      </c>
      <c r="K31">
        <v>357</v>
      </c>
      <c r="L31">
        <v>354</v>
      </c>
      <c r="M31">
        <v>351</v>
      </c>
      <c r="N31">
        <v>346</v>
      </c>
      <c r="O31">
        <v>342</v>
      </c>
      <c r="P31">
        <v>338</v>
      </c>
      <c r="Q31">
        <v>332</v>
      </c>
      <c r="R31">
        <v>327</v>
      </c>
      <c r="S31">
        <v>322</v>
      </c>
      <c r="T31">
        <v>320</v>
      </c>
      <c r="U31">
        <v>317</v>
      </c>
      <c r="V31">
        <v>314</v>
      </c>
      <c r="W31">
        <v>312</v>
      </c>
      <c r="X31">
        <v>309</v>
      </c>
      <c r="Y31">
        <v>297</v>
      </c>
      <c r="Z31">
        <v>294</v>
      </c>
      <c r="AA31">
        <v>292</v>
      </c>
      <c r="AB31">
        <v>291</v>
      </c>
      <c r="AC31">
        <v>290</v>
      </c>
      <c r="AD31">
        <v>290</v>
      </c>
      <c r="AE31">
        <v>3.05</v>
      </c>
      <c r="AF31">
        <v>4.3</v>
      </c>
    </row>
    <row r="32" spans="2:32" ht="12.75">
      <c r="B32">
        <v>369</v>
      </c>
      <c r="C32">
        <v>353</v>
      </c>
      <c r="D32">
        <v>352</v>
      </c>
      <c r="E32">
        <v>349</v>
      </c>
      <c r="F32">
        <v>347</v>
      </c>
      <c r="G32">
        <v>343</v>
      </c>
      <c r="H32">
        <v>341</v>
      </c>
      <c r="I32">
        <v>340</v>
      </c>
      <c r="J32">
        <v>337</v>
      </c>
      <c r="K32">
        <v>335</v>
      </c>
      <c r="L32">
        <v>332</v>
      </c>
      <c r="M32">
        <v>331</v>
      </c>
      <c r="N32">
        <v>329</v>
      </c>
      <c r="O32">
        <v>326</v>
      </c>
      <c r="P32">
        <v>322</v>
      </c>
      <c r="Q32">
        <v>319</v>
      </c>
      <c r="R32">
        <v>316</v>
      </c>
      <c r="S32">
        <v>311</v>
      </c>
      <c r="T32">
        <v>308</v>
      </c>
      <c r="U32">
        <v>307</v>
      </c>
      <c r="V32">
        <v>305</v>
      </c>
      <c r="W32">
        <v>304</v>
      </c>
      <c r="X32">
        <v>301</v>
      </c>
      <c r="Y32">
        <v>292</v>
      </c>
      <c r="Z32">
        <v>290</v>
      </c>
      <c r="AA32">
        <v>288</v>
      </c>
      <c r="AB32">
        <v>287</v>
      </c>
      <c r="AC32">
        <v>287</v>
      </c>
      <c r="AE32">
        <v>2.9</v>
      </c>
      <c r="AF32">
        <v>4.3</v>
      </c>
    </row>
    <row r="33" spans="2:32" ht="12.75">
      <c r="B33">
        <v>347</v>
      </c>
      <c r="C33">
        <v>346</v>
      </c>
      <c r="D33">
        <v>344</v>
      </c>
      <c r="E33">
        <v>342</v>
      </c>
      <c r="F33">
        <v>341</v>
      </c>
      <c r="G33">
        <v>339</v>
      </c>
      <c r="H33">
        <v>337</v>
      </c>
      <c r="I33">
        <v>335</v>
      </c>
      <c r="J33">
        <v>333</v>
      </c>
      <c r="K33">
        <v>332</v>
      </c>
      <c r="L33">
        <v>331</v>
      </c>
      <c r="M33">
        <v>330</v>
      </c>
      <c r="N33">
        <v>329</v>
      </c>
      <c r="O33">
        <v>326</v>
      </c>
      <c r="P33">
        <v>324</v>
      </c>
      <c r="Q33">
        <v>321</v>
      </c>
      <c r="R33">
        <v>318</v>
      </c>
      <c r="S33">
        <v>315</v>
      </c>
      <c r="T33">
        <v>313</v>
      </c>
      <c r="U33">
        <v>311</v>
      </c>
      <c r="V33">
        <v>309</v>
      </c>
      <c r="W33">
        <v>307</v>
      </c>
      <c r="X33">
        <v>305</v>
      </c>
      <c r="Y33">
        <v>297</v>
      </c>
      <c r="Z33">
        <v>296</v>
      </c>
      <c r="AA33">
        <v>295</v>
      </c>
      <c r="AB33">
        <v>294</v>
      </c>
      <c r="AE33">
        <v>2.95</v>
      </c>
      <c r="AF33">
        <v>4.3</v>
      </c>
    </row>
    <row r="36" spans="1:25" ht="12.75">
      <c r="A36" s="10" t="s">
        <v>11</v>
      </c>
      <c r="B36" s="10">
        <v>11</v>
      </c>
      <c r="X36" t="s">
        <v>79</v>
      </c>
      <c r="Y36" t="s">
        <v>80</v>
      </c>
    </row>
    <row r="37" spans="1:23" ht="12.75">
      <c r="A37" t="s">
        <v>55</v>
      </c>
      <c r="B37">
        <v>0</v>
      </c>
      <c r="C37">
        <v>0.2</v>
      </c>
      <c r="D37">
        <v>0.4</v>
      </c>
      <c r="E37">
        <v>0.6</v>
      </c>
      <c r="F37">
        <v>0.8</v>
      </c>
      <c r="G37">
        <v>1</v>
      </c>
      <c r="H37">
        <v>1.2</v>
      </c>
      <c r="I37">
        <v>1.4</v>
      </c>
      <c r="J37">
        <v>1.6</v>
      </c>
      <c r="K37">
        <v>1.8</v>
      </c>
      <c r="L37">
        <v>2</v>
      </c>
      <c r="M37">
        <v>2.2</v>
      </c>
      <c r="N37">
        <v>2.4</v>
      </c>
      <c r="O37">
        <v>2.6</v>
      </c>
      <c r="P37">
        <v>2.8</v>
      </c>
      <c r="Q37">
        <v>3</v>
      </c>
      <c r="R37">
        <v>3.2</v>
      </c>
      <c r="S37">
        <v>3.4</v>
      </c>
      <c r="T37">
        <v>3.6</v>
      </c>
      <c r="U37">
        <v>3.8</v>
      </c>
      <c r="V37">
        <v>4</v>
      </c>
      <c r="W37">
        <v>4.2</v>
      </c>
    </row>
    <row r="38" spans="1:25" ht="12.75">
      <c r="A38" t="s">
        <v>81</v>
      </c>
      <c r="B38">
        <v>370</v>
      </c>
      <c r="C38">
        <v>345</v>
      </c>
      <c r="D38">
        <v>342</v>
      </c>
      <c r="E38">
        <v>338</v>
      </c>
      <c r="F38">
        <v>335</v>
      </c>
      <c r="G38">
        <v>331</v>
      </c>
      <c r="H38">
        <v>327</v>
      </c>
      <c r="I38">
        <v>325</v>
      </c>
      <c r="J38">
        <v>322</v>
      </c>
      <c r="K38">
        <v>319</v>
      </c>
      <c r="L38">
        <v>314</v>
      </c>
      <c r="M38">
        <v>309</v>
      </c>
      <c r="N38">
        <v>304</v>
      </c>
      <c r="O38">
        <v>301</v>
      </c>
      <c r="P38">
        <v>298</v>
      </c>
      <c r="Q38">
        <v>287</v>
      </c>
      <c r="R38">
        <v>285</v>
      </c>
      <c r="S38">
        <v>283</v>
      </c>
      <c r="T38">
        <v>282</v>
      </c>
      <c r="U38">
        <v>282</v>
      </c>
      <c r="V38">
        <v>282</v>
      </c>
      <c r="W38">
        <v>282</v>
      </c>
      <c r="X38">
        <v>2.2</v>
      </c>
      <c r="Y38">
        <v>2.9</v>
      </c>
    </row>
    <row r="39" spans="2:25" ht="12.75">
      <c r="B39">
        <v>335</v>
      </c>
      <c r="C39">
        <v>332</v>
      </c>
      <c r="D39">
        <v>329</v>
      </c>
      <c r="E39">
        <v>327</v>
      </c>
      <c r="F39">
        <v>326</v>
      </c>
      <c r="G39">
        <v>324</v>
      </c>
      <c r="H39">
        <v>322</v>
      </c>
      <c r="I39">
        <v>320</v>
      </c>
      <c r="J39">
        <v>318</v>
      </c>
      <c r="K39">
        <v>314</v>
      </c>
      <c r="L39">
        <v>311</v>
      </c>
      <c r="M39">
        <v>307</v>
      </c>
      <c r="N39">
        <v>303</v>
      </c>
      <c r="O39">
        <v>301</v>
      </c>
      <c r="P39">
        <v>298</v>
      </c>
      <c r="Q39">
        <v>291</v>
      </c>
      <c r="R39">
        <v>290</v>
      </c>
      <c r="S39">
        <v>290</v>
      </c>
      <c r="T39">
        <v>290</v>
      </c>
      <c r="X39">
        <v>2</v>
      </c>
      <c r="Y39">
        <v>2.9</v>
      </c>
    </row>
    <row r="40" spans="2:25" ht="12.75">
      <c r="B40">
        <v>331</v>
      </c>
      <c r="C40">
        <v>328</v>
      </c>
      <c r="D40">
        <v>326</v>
      </c>
      <c r="E40">
        <v>324</v>
      </c>
      <c r="F40">
        <v>323</v>
      </c>
      <c r="G40">
        <v>321</v>
      </c>
      <c r="H40">
        <v>319</v>
      </c>
      <c r="I40">
        <v>317</v>
      </c>
      <c r="J40">
        <v>314</v>
      </c>
      <c r="K40">
        <v>311</v>
      </c>
      <c r="L40">
        <v>307</v>
      </c>
      <c r="M40">
        <v>303</v>
      </c>
      <c r="N40">
        <v>299</v>
      </c>
      <c r="O40">
        <v>296</v>
      </c>
      <c r="P40">
        <v>292</v>
      </c>
      <c r="Q40">
        <v>285</v>
      </c>
      <c r="R40">
        <v>284</v>
      </c>
      <c r="S40">
        <v>283</v>
      </c>
      <c r="T40">
        <v>283</v>
      </c>
      <c r="X40">
        <v>2.1</v>
      </c>
      <c r="Y40">
        <v>2.9</v>
      </c>
    </row>
    <row r="43" spans="1:2" ht="12.75">
      <c r="A43" s="10" t="s">
        <v>11</v>
      </c>
      <c r="B43" s="10">
        <v>5</v>
      </c>
    </row>
    <row r="44" spans="1:25" ht="12.75">
      <c r="A44" t="s">
        <v>55</v>
      </c>
      <c r="B44">
        <v>0</v>
      </c>
      <c r="C44">
        <v>0.2</v>
      </c>
      <c r="D44">
        <v>0.4</v>
      </c>
      <c r="E44">
        <v>0.6</v>
      </c>
      <c r="F44">
        <v>0.8</v>
      </c>
      <c r="G44">
        <v>1</v>
      </c>
      <c r="H44">
        <v>1.2</v>
      </c>
      <c r="I44">
        <v>1.4</v>
      </c>
      <c r="J44">
        <v>1.6</v>
      </c>
      <c r="K44">
        <v>1.8</v>
      </c>
      <c r="L44">
        <v>2</v>
      </c>
      <c r="M44">
        <v>2.2</v>
      </c>
      <c r="N44">
        <v>2.4</v>
      </c>
      <c r="O44">
        <v>2.6</v>
      </c>
      <c r="P44">
        <v>2.8</v>
      </c>
      <c r="Q44">
        <v>3</v>
      </c>
      <c r="R44">
        <v>3.2</v>
      </c>
      <c r="S44">
        <v>3.4</v>
      </c>
      <c r="T44">
        <v>3.6</v>
      </c>
      <c r="X44" t="s">
        <v>79</v>
      </c>
      <c r="Y44" t="s">
        <v>80</v>
      </c>
    </row>
    <row r="45" spans="1:25" ht="12.75">
      <c r="A45" t="s">
        <v>81</v>
      </c>
      <c r="B45">
        <v>335</v>
      </c>
      <c r="C45">
        <v>332</v>
      </c>
      <c r="D45">
        <v>330</v>
      </c>
      <c r="E45">
        <v>327</v>
      </c>
      <c r="F45">
        <v>326</v>
      </c>
      <c r="G45">
        <v>324</v>
      </c>
      <c r="H45">
        <v>323</v>
      </c>
      <c r="I45">
        <v>321</v>
      </c>
      <c r="J45">
        <v>318</v>
      </c>
      <c r="K45">
        <v>317</v>
      </c>
      <c r="L45">
        <v>314</v>
      </c>
      <c r="M45">
        <v>311</v>
      </c>
      <c r="N45">
        <v>307</v>
      </c>
      <c r="O45">
        <v>303</v>
      </c>
      <c r="P45">
        <v>301</v>
      </c>
      <c r="Q45">
        <v>295</v>
      </c>
      <c r="R45">
        <v>293</v>
      </c>
      <c r="S45">
        <v>293</v>
      </c>
      <c r="T45">
        <v>293</v>
      </c>
      <c r="X45">
        <v>2.2</v>
      </c>
      <c r="Y45">
        <v>2.9</v>
      </c>
    </row>
    <row r="46" spans="2:25" ht="12.75">
      <c r="B46">
        <v>330</v>
      </c>
      <c r="C46">
        <v>327</v>
      </c>
      <c r="D46">
        <v>325</v>
      </c>
      <c r="E46">
        <v>323</v>
      </c>
      <c r="F46">
        <v>322</v>
      </c>
      <c r="G46">
        <v>320</v>
      </c>
      <c r="H46">
        <v>319</v>
      </c>
      <c r="I46">
        <v>317</v>
      </c>
      <c r="J46">
        <v>316</v>
      </c>
      <c r="K46">
        <v>314</v>
      </c>
      <c r="L46">
        <v>312</v>
      </c>
      <c r="M46">
        <v>308</v>
      </c>
      <c r="N46">
        <v>304</v>
      </c>
      <c r="O46">
        <v>302</v>
      </c>
      <c r="P46">
        <v>300</v>
      </c>
      <c r="Q46">
        <v>296</v>
      </c>
      <c r="R46">
        <v>294</v>
      </c>
      <c r="S46">
        <v>294</v>
      </c>
      <c r="X46">
        <v>2.2</v>
      </c>
      <c r="Y46">
        <v>2.9</v>
      </c>
    </row>
    <row r="49" spans="1:2" ht="12.75">
      <c r="A49" s="10" t="s">
        <v>11</v>
      </c>
      <c r="B49" s="10">
        <v>7</v>
      </c>
    </row>
    <row r="50" spans="1:29" ht="12.75">
      <c r="A50" t="s">
        <v>55</v>
      </c>
      <c r="B50">
        <v>0</v>
      </c>
      <c r="C50">
        <v>0.2</v>
      </c>
      <c r="D50">
        <v>0.4</v>
      </c>
      <c r="E50">
        <v>0.6</v>
      </c>
      <c r="F50">
        <v>0.8</v>
      </c>
      <c r="G50">
        <v>1</v>
      </c>
      <c r="H50">
        <v>1.2</v>
      </c>
      <c r="I50">
        <v>1.4</v>
      </c>
      <c r="J50">
        <v>1.6</v>
      </c>
      <c r="K50">
        <v>1.8</v>
      </c>
      <c r="L50">
        <v>2</v>
      </c>
      <c r="M50">
        <v>2.2</v>
      </c>
      <c r="N50">
        <v>2.4</v>
      </c>
      <c r="O50">
        <v>2.6</v>
      </c>
      <c r="P50">
        <v>2.8</v>
      </c>
      <c r="Q50">
        <v>3</v>
      </c>
      <c r="R50">
        <v>3.2</v>
      </c>
      <c r="S50">
        <v>3.4</v>
      </c>
      <c r="T50">
        <v>3.6</v>
      </c>
      <c r="U50">
        <v>3.8</v>
      </c>
      <c r="V50">
        <v>4</v>
      </c>
      <c r="W50">
        <v>4.2</v>
      </c>
      <c r="X50">
        <v>4.4</v>
      </c>
      <c r="Y50">
        <v>4.6</v>
      </c>
      <c r="Z50">
        <v>4.8</v>
      </c>
      <c r="AA50">
        <v>5</v>
      </c>
      <c r="AB50" t="s">
        <v>79</v>
      </c>
      <c r="AC50" t="s">
        <v>80</v>
      </c>
    </row>
    <row r="51" spans="1:29" ht="12.75">
      <c r="A51" t="s">
        <v>81</v>
      </c>
      <c r="B51">
        <v>328</v>
      </c>
      <c r="C51">
        <v>321</v>
      </c>
      <c r="D51">
        <v>319</v>
      </c>
      <c r="E51">
        <v>317</v>
      </c>
      <c r="F51">
        <v>315</v>
      </c>
      <c r="G51">
        <v>313</v>
      </c>
      <c r="H51">
        <v>311</v>
      </c>
      <c r="I51">
        <v>310</v>
      </c>
      <c r="J51">
        <v>308</v>
      </c>
      <c r="K51">
        <v>306</v>
      </c>
      <c r="L51">
        <v>304</v>
      </c>
      <c r="M51">
        <v>302</v>
      </c>
      <c r="N51">
        <v>299</v>
      </c>
      <c r="O51">
        <v>297</v>
      </c>
      <c r="P51">
        <v>294</v>
      </c>
      <c r="Q51">
        <v>292</v>
      </c>
      <c r="R51">
        <v>289</v>
      </c>
      <c r="S51">
        <v>287</v>
      </c>
      <c r="T51">
        <v>285</v>
      </c>
      <c r="U51">
        <v>283</v>
      </c>
      <c r="V51">
        <v>279</v>
      </c>
      <c r="W51">
        <v>271</v>
      </c>
      <c r="X51">
        <v>269</v>
      </c>
      <c r="Y51">
        <v>269</v>
      </c>
      <c r="AB51">
        <v>2.7</v>
      </c>
      <c r="AC51">
        <v>4.1</v>
      </c>
    </row>
    <row r="52" spans="2:29" ht="12.75">
      <c r="B52">
        <v>318</v>
      </c>
      <c r="C52">
        <v>316</v>
      </c>
      <c r="D52">
        <v>314</v>
      </c>
      <c r="E52">
        <v>312</v>
      </c>
      <c r="F52">
        <v>312</v>
      </c>
      <c r="G52">
        <v>310</v>
      </c>
      <c r="H52">
        <v>310</v>
      </c>
      <c r="I52">
        <v>309</v>
      </c>
      <c r="J52">
        <v>307</v>
      </c>
      <c r="K52">
        <v>306</v>
      </c>
      <c r="L52">
        <v>305</v>
      </c>
      <c r="M52">
        <v>304</v>
      </c>
      <c r="N52">
        <v>303</v>
      </c>
      <c r="O52">
        <v>302</v>
      </c>
      <c r="P52">
        <v>301</v>
      </c>
      <c r="Q52">
        <v>299</v>
      </c>
      <c r="R52">
        <v>296</v>
      </c>
      <c r="S52">
        <v>293</v>
      </c>
      <c r="T52">
        <v>291</v>
      </c>
      <c r="U52">
        <v>289</v>
      </c>
      <c r="V52">
        <v>286</v>
      </c>
      <c r="W52">
        <v>279</v>
      </c>
      <c r="X52">
        <v>277</v>
      </c>
      <c r="Y52">
        <v>276</v>
      </c>
      <c r="Z52">
        <v>276</v>
      </c>
      <c r="AA52">
        <v>275</v>
      </c>
      <c r="AB52">
        <v>3.3</v>
      </c>
      <c r="AC52">
        <v>4.1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11" sqref="L11"/>
    </sheetView>
  </sheetViews>
  <sheetFormatPr defaultColWidth="9.00390625" defaultRowHeight="12.75"/>
  <cols>
    <col min="1" max="1" width="13.375" style="0" customWidth="1"/>
    <col min="2" max="16384" width="5.75390625" style="0" customWidth="1"/>
  </cols>
  <sheetData>
    <row r="1" ht="15.75">
      <c r="A1" s="1" t="s">
        <v>84</v>
      </c>
    </row>
    <row r="3" ht="12.75">
      <c r="A3" t="s">
        <v>85</v>
      </c>
    </row>
    <row r="5" spans="1:3" ht="12.75">
      <c r="A5" t="s">
        <v>86</v>
      </c>
      <c r="B5">
        <v>0.3</v>
      </c>
      <c r="C5" t="s">
        <v>5</v>
      </c>
    </row>
    <row r="6" spans="1:3" ht="12.75">
      <c r="A6" t="s">
        <v>59</v>
      </c>
      <c r="B6">
        <v>100</v>
      </c>
      <c r="C6" t="s">
        <v>3</v>
      </c>
    </row>
    <row r="7" spans="1:3" ht="12.75">
      <c r="A7" t="s">
        <v>87</v>
      </c>
      <c r="B7">
        <v>1</v>
      </c>
      <c r="C7" t="s">
        <v>3</v>
      </c>
    </row>
    <row r="9" spans="1:11" ht="12.75">
      <c r="A9" t="s">
        <v>11</v>
      </c>
      <c r="B9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 t="s">
        <v>88</v>
      </c>
      <c r="K9" t="s">
        <v>12</v>
      </c>
    </row>
    <row r="10" spans="1:11" ht="12.75">
      <c r="A10" t="s">
        <v>89</v>
      </c>
      <c r="B10">
        <v>151</v>
      </c>
      <c r="D10">
        <v>350</v>
      </c>
      <c r="E10">
        <v>197</v>
      </c>
      <c r="F10">
        <v>108</v>
      </c>
      <c r="G10">
        <v>88</v>
      </c>
      <c r="H10">
        <v>88</v>
      </c>
      <c r="I10">
        <v>153</v>
      </c>
      <c r="J10">
        <v>536</v>
      </c>
      <c r="K10">
        <v>162</v>
      </c>
    </row>
    <row r="11" spans="1:11" ht="12.75">
      <c r="A11" t="s">
        <v>90</v>
      </c>
      <c r="B11">
        <v>495</v>
      </c>
      <c r="C11">
        <v>403</v>
      </c>
      <c r="D11">
        <v>506</v>
      </c>
      <c r="E11">
        <v>421</v>
      </c>
      <c r="F11">
        <v>285</v>
      </c>
      <c r="G11">
        <v>500</v>
      </c>
      <c r="H11">
        <v>463</v>
      </c>
      <c r="I11">
        <v>534</v>
      </c>
      <c r="J11">
        <v>679</v>
      </c>
      <c r="K11">
        <v>557</v>
      </c>
    </row>
    <row r="12" spans="1:11" ht="12.75">
      <c r="A12" t="s">
        <v>91</v>
      </c>
      <c r="B12">
        <v>451</v>
      </c>
      <c r="C12">
        <v>368</v>
      </c>
      <c r="D12">
        <v>409</v>
      </c>
      <c r="E12">
        <v>385</v>
      </c>
      <c r="F12">
        <v>244</v>
      </c>
      <c r="G12">
        <v>486</v>
      </c>
      <c r="H12">
        <v>444</v>
      </c>
      <c r="I12">
        <v>499</v>
      </c>
      <c r="J12">
        <v>580</v>
      </c>
      <c r="K12">
        <v>504</v>
      </c>
    </row>
    <row r="13" spans="1:12" ht="12.75">
      <c r="A13" t="s">
        <v>92</v>
      </c>
      <c r="B13" s="6">
        <f>Св!B24</f>
        <v>0.6999999999999998</v>
      </c>
      <c r="C13" s="6">
        <f>Св!C24</f>
        <v>0.675</v>
      </c>
      <c r="D13" s="6">
        <f>Св!I24</f>
        <v>1.6675000000000002</v>
      </c>
      <c r="E13" s="6">
        <f>Св!K24</f>
        <v>0.74</v>
      </c>
      <c r="F13" s="6">
        <f>Св!G24</f>
        <v>0.5825</v>
      </c>
      <c r="G13" s="6">
        <f>Св!D24</f>
        <v>0.5575000000000001</v>
      </c>
      <c r="H13" s="6">
        <f>Св!F24</f>
        <v>0.44000000000000006</v>
      </c>
      <c r="I13" s="6">
        <f>Св!L24</f>
        <v>0.8825</v>
      </c>
      <c r="J13" s="6">
        <f>Св!J24</f>
        <v>1.825</v>
      </c>
      <c r="K13" s="6">
        <f>Св!E24</f>
        <v>0.7750000000000001</v>
      </c>
      <c r="L13" s="6"/>
    </row>
    <row r="14" spans="1:11" ht="12.75">
      <c r="A14" t="s">
        <v>93</v>
      </c>
      <c r="B14">
        <f aca="true" t="shared" si="0" ref="B14:K14">B11-B12</f>
        <v>44</v>
      </c>
      <c r="C14">
        <f t="shared" si="0"/>
        <v>35</v>
      </c>
      <c r="D14">
        <f t="shared" si="0"/>
        <v>97</v>
      </c>
      <c r="E14">
        <f t="shared" si="0"/>
        <v>36</v>
      </c>
      <c r="F14">
        <f t="shared" si="0"/>
        <v>41</v>
      </c>
      <c r="G14">
        <f t="shared" si="0"/>
        <v>14</v>
      </c>
      <c r="H14">
        <f t="shared" si="0"/>
        <v>19</v>
      </c>
      <c r="I14">
        <f t="shared" si="0"/>
        <v>35</v>
      </c>
      <c r="J14">
        <f t="shared" si="0"/>
        <v>99</v>
      </c>
      <c r="K14">
        <f t="shared" si="0"/>
        <v>53</v>
      </c>
    </row>
    <row r="16" ht="12.75">
      <c r="A16" s="11" t="s">
        <v>94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I34" sqref="I34"/>
    </sheetView>
  </sheetViews>
  <sheetFormatPr defaultColWidth="9.00390625" defaultRowHeight="12.75"/>
  <cols>
    <col min="1" max="1" width="13.375" style="0" customWidth="1"/>
    <col min="2" max="16384" width="5.75390625" style="0" customWidth="1"/>
  </cols>
  <sheetData>
    <row r="1" ht="15.75">
      <c r="A1" s="1" t="s">
        <v>95</v>
      </c>
    </row>
    <row r="2" ht="15.75">
      <c r="A2" s="1"/>
    </row>
    <row r="3" ht="12.75">
      <c r="A3" t="s">
        <v>96</v>
      </c>
    </row>
    <row r="4" ht="12.75">
      <c r="A4" t="s">
        <v>97</v>
      </c>
    </row>
    <row r="6" spans="1:3" ht="12.75">
      <c r="A6" t="s">
        <v>98</v>
      </c>
      <c r="B6">
        <v>0.1</v>
      </c>
      <c r="C6" t="s">
        <v>5</v>
      </c>
    </row>
    <row r="7" spans="1:3" ht="12.75">
      <c r="A7" t="s">
        <v>59</v>
      </c>
      <c r="B7">
        <v>100</v>
      </c>
      <c r="C7" t="s">
        <v>3</v>
      </c>
    </row>
    <row r="8" spans="1:3" ht="12.75">
      <c r="A8" t="s">
        <v>99</v>
      </c>
      <c r="B8">
        <v>1</v>
      </c>
      <c r="C8" t="s">
        <v>3</v>
      </c>
    </row>
    <row r="9" s="7" customFormat="1" ht="12.75">
      <c r="A9" s="7" t="s">
        <v>100</v>
      </c>
    </row>
    <row r="11" ht="12.75">
      <c r="A11" t="s">
        <v>101</v>
      </c>
    </row>
    <row r="12" ht="12.75">
      <c r="A12" t="s">
        <v>102</v>
      </c>
    </row>
    <row r="14" ht="12.75">
      <c r="A14" t="s">
        <v>103</v>
      </c>
    </row>
    <row r="15" spans="1:3" ht="12.75">
      <c r="A15" t="s">
        <v>104</v>
      </c>
      <c r="B15">
        <v>0.02</v>
      </c>
      <c r="C15" t="s">
        <v>78</v>
      </c>
    </row>
    <row r="16" spans="1:3" ht="12.75">
      <c r="A16" t="s">
        <v>98</v>
      </c>
      <c r="B16">
        <v>0.1</v>
      </c>
      <c r="C16" t="s">
        <v>105</v>
      </c>
    </row>
    <row r="18" ht="12.75">
      <c r="A18" t="s">
        <v>106</v>
      </c>
    </row>
    <row r="19" spans="1:2" ht="12.75">
      <c r="A19" t="s">
        <v>107</v>
      </c>
      <c r="B19">
        <v>1</v>
      </c>
    </row>
    <row r="20" spans="1:2" ht="12.75">
      <c r="A20" t="s">
        <v>59</v>
      </c>
      <c r="B20">
        <v>100</v>
      </c>
    </row>
    <row r="21" spans="1:2" ht="12.75">
      <c r="A21" t="s">
        <v>67</v>
      </c>
      <c r="B21">
        <f>218-178</f>
        <v>40</v>
      </c>
    </row>
    <row r="25" spans="1:7" ht="12.75">
      <c r="A25" t="s">
        <v>11</v>
      </c>
      <c r="B25">
        <v>1</v>
      </c>
      <c r="D25" t="s">
        <v>13</v>
      </c>
      <c r="G25">
        <v>2</v>
      </c>
    </row>
    <row r="26" spans="1:9" ht="12.75">
      <c r="A26" t="s">
        <v>108</v>
      </c>
      <c r="B26">
        <v>1</v>
      </c>
      <c r="C26">
        <v>3</v>
      </c>
      <c r="D26">
        <v>1</v>
      </c>
      <c r="E26">
        <v>2</v>
      </c>
      <c r="F26">
        <v>3</v>
      </c>
      <c r="G26">
        <v>1</v>
      </c>
      <c r="H26">
        <v>2</v>
      </c>
      <c r="I26">
        <v>3</v>
      </c>
    </row>
    <row r="27" ht="12.75">
      <c r="A27" t="s">
        <v>109</v>
      </c>
    </row>
    <row r="28" spans="1:9" ht="12.75">
      <c r="A28" t="s">
        <v>89</v>
      </c>
      <c r="B28">
        <v>179</v>
      </c>
      <c r="C28">
        <v>172</v>
      </c>
      <c r="D28">
        <v>209</v>
      </c>
      <c r="E28">
        <v>209</v>
      </c>
      <c r="F28">
        <v>208</v>
      </c>
      <c r="G28">
        <v>141</v>
      </c>
      <c r="H28">
        <v>125</v>
      </c>
      <c r="I28">
        <v>124</v>
      </c>
    </row>
    <row r="29" spans="1:9" ht="12.75">
      <c r="A29" t="s">
        <v>110</v>
      </c>
      <c r="B29">
        <v>254</v>
      </c>
      <c r="C29">
        <v>389</v>
      </c>
      <c r="D29">
        <v>276</v>
      </c>
      <c r="E29">
        <v>347</v>
      </c>
      <c r="F29">
        <v>410</v>
      </c>
      <c r="G29">
        <v>223</v>
      </c>
      <c r="H29">
        <v>270</v>
      </c>
      <c r="I29">
        <v>334</v>
      </c>
    </row>
    <row r="30" spans="1:9" ht="12.75">
      <c r="A30" t="s">
        <v>90</v>
      </c>
      <c r="B30">
        <v>437</v>
      </c>
      <c r="C30">
        <v>563</v>
      </c>
      <c r="D30">
        <v>466</v>
      </c>
      <c r="E30">
        <v>518</v>
      </c>
      <c r="F30">
        <v>572</v>
      </c>
      <c r="G30">
        <v>433</v>
      </c>
      <c r="H30">
        <v>420</v>
      </c>
      <c r="I30">
        <v>507</v>
      </c>
    </row>
    <row r="31" spans="1:9" ht="12.75">
      <c r="A31" t="s">
        <v>91</v>
      </c>
      <c r="B31">
        <v>432</v>
      </c>
      <c r="C31">
        <v>552</v>
      </c>
      <c r="D31">
        <v>463</v>
      </c>
      <c r="E31">
        <v>482</v>
      </c>
      <c r="F31">
        <v>498</v>
      </c>
      <c r="G31">
        <v>425</v>
      </c>
      <c r="H31">
        <v>412</v>
      </c>
      <c r="I31">
        <v>491</v>
      </c>
    </row>
    <row r="32" spans="1:9" ht="12.75">
      <c r="A32" t="s">
        <v>93</v>
      </c>
      <c r="B32">
        <f aca="true" t="shared" si="0" ref="B32:I32">B30-B31</f>
        <v>5</v>
      </c>
      <c r="C32">
        <f t="shared" si="0"/>
        <v>11</v>
      </c>
      <c r="D32">
        <f t="shared" si="0"/>
        <v>3</v>
      </c>
      <c r="E32">
        <f t="shared" si="0"/>
        <v>36</v>
      </c>
      <c r="F32">
        <f t="shared" si="0"/>
        <v>74</v>
      </c>
      <c r="G32">
        <f t="shared" si="0"/>
        <v>8</v>
      </c>
      <c r="H32">
        <v>8</v>
      </c>
      <c r="I32">
        <f t="shared" si="0"/>
        <v>16</v>
      </c>
    </row>
    <row r="33" spans="1:9" ht="12.75">
      <c r="A33" t="s">
        <v>111</v>
      </c>
      <c r="B33">
        <v>26.8</v>
      </c>
      <c r="C33">
        <v>25.2</v>
      </c>
      <c r="D33">
        <v>20.7</v>
      </c>
      <c r="E33">
        <v>20.8</v>
      </c>
      <c r="F33">
        <v>20.6</v>
      </c>
      <c r="G33">
        <v>25.1</v>
      </c>
      <c r="H33">
        <v>20.8</v>
      </c>
      <c r="I33">
        <v>20.4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Roga-Kopyta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2003-07-20T11:41:32Z</dcterms:created>
  <dcterms:modified xsi:type="dcterms:W3CDTF">2007-06-19T06:03:04Z</dcterms:modified>
  <cp:category/>
  <cp:version/>
  <cp:contentType/>
  <cp:contentStatus/>
</cp:coreProperties>
</file>