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5"/>
  </bookViews>
  <sheets>
    <sheet name="Мокрое" sheetId="1" r:id="rId1"/>
    <sheet name="gps" sheetId="2" r:id="rId2"/>
    <sheet name="gps-poln" sheetId="3" r:id="rId3"/>
    <sheet name="fenevo0906-EC" sheetId="4" r:id="rId4"/>
    <sheet name="pH-map" sheetId="5" r:id="rId5"/>
    <sheet name="Fe" sheetId="6" r:id="rId6"/>
    <sheet name="Vodomery" sheetId="7" r:id="rId7"/>
  </sheets>
  <definedNames/>
  <calcPr fullCalcOnLoad="1"/>
</workbook>
</file>

<file path=xl/sharedStrings.xml><?xml version="1.0" encoding="utf-8"?>
<sst xmlns="http://schemas.openxmlformats.org/spreadsheetml/2006/main" count="1442" uniqueCount="390">
  <si>
    <t>Точка</t>
  </si>
  <si>
    <t>Дата</t>
  </si>
  <si>
    <t>Время</t>
  </si>
  <si>
    <t>в.д.</t>
  </si>
  <si>
    <t>с.ш.</t>
  </si>
  <si>
    <t>Высота</t>
  </si>
  <si>
    <t>Э-пров, мкСм/cм</t>
  </si>
  <si>
    <t>рН</t>
  </si>
  <si>
    <t>Сводная таблица результатов анализов воды в Фенево</t>
  </si>
  <si>
    <t>С(HCl)</t>
  </si>
  <si>
    <t>C(ЭДТА)</t>
  </si>
  <si>
    <t>C(Ag)</t>
  </si>
  <si>
    <t>Название</t>
  </si>
  <si>
    <t>Бригада</t>
  </si>
  <si>
    <t>Цветность</t>
  </si>
  <si>
    <t>Проводимость, мкСм/см</t>
  </si>
  <si>
    <t>Щелочность общая, мМ</t>
  </si>
  <si>
    <t>Жесткость, мМ</t>
  </si>
  <si>
    <t>Кальций, мМ</t>
  </si>
  <si>
    <t>Хлориды по хромату, мМ</t>
  </si>
  <si>
    <t>Щелочность/жесткость</t>
  </si>
  <si>
    <t>мМ</t>
  </si>
  <si>
    <t>р. Белка</t>
  </si>
  <si>
    <t>Характеристика</t>
  </si>
  <si>
    <r>
      <t>C(Na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>S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2"/>
      </rPr>
      <t>O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2"/>
      </rPr>
      <t>)</t>
    </r>
  </si>
  <si>
    <r>
      <t>Fe</t>
    </r>
    <r>
      <rPr>
        <vertAlign val="superscript"/>
        <sz val="10"/>
        <rFont val="Arial CYR"/>
        <family val="2"/>
      </rPr>
      <t>2+</t>
    </r>
    <r>
      <rPr>
        <sz val="10"/>
        <rFont val="Arial Cyr"/>
        <family val="0"/>
      </rPr>
      <t>, мкМ</t>
    </r>
  </si>
  <si>
    <t>10А</t>
  </si>
  <si>
    <t>оз. Долысское</t>
  </si>
  <si>
    <t>Елизаров</t>
  </si>
  <si>
    <t>Нармина М., Илья У., Гоша С., Саша Г.</t>
  </si>
  <si>
    <t>11-001</t>
  </si>
  <si>
    <t>Ближайшая лужа в колее</t>
  </si>
  <si>
    <t>t, C</t>
  </si>
  <si>
    <t>H1</t>
  </si>
  <si>
    <t>H7</t>
  </si>
  <si>
    <t>??</t>
  </si>
  <si>
    <r>
      <t>O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, мкМ</t>
    </r>
  </si>
  <si>
    <t>11-002</t>
  </si>
  <si>
    <t>11-003</t>
  </si>
  <si>
    <t>11-004</t>
  </si>
  <si>
    <t>11-005</t>
  </si>
  <si>
    <t>11-006</t>
  </si>
  <si>
    <t>11-007</t>
  </si>
  <si>
    <t>11-008</t>
  </si>
  <si>
    <t>11-009</t>
  </si>
  <si>
    <t>11-010</t>
  </si>
  <si>
    <t>11-011</t>
  </si>
  <si>
    <t>11-012</t>
  </si>
  <si>
    <t>11-013</t>
  </si>
  <si>
    <t>11-014</t>
  </si>
  <si>
    <t>11-015</t>
  </si>
  <si>
    <t>11-016</t>
  </si>
  <si>
    <t>11-017</t>
  </si>
  <si>
    <t>11-018</t>
  </si>
  <si>
    <t>11-019</t>
  </si>
  <si>
    <t>11-020</t>
  </si>
  <si>
    <t>11-021</t>
  </si>
  <si>
    <t>11-022</t>
  </si>
  <si>
    <t>11-023</t>
  </si>
  <si>
    <t>11-024</t>
  </si>
  <si>
    <t>11-025</t>
  </si>
  <si>
    <t>11-026</t>
  </si>
  <si>
    <t>11-027</t>
  </si>
  <si>
    <t>11-028</t>
  </si>
  <si>
    <t>11-029</t>
  </si>
  <si>
    <t>11-030</t>
  </si>
  <si>
    <t>11-031</t>
  </si>
  <si>
    <t>623156.</t>
  </si>
  <si>
    <t>Лужа с пыльцой</t>
  </si>
  <si>
    <t>Лужа посреди дороги на холме</t>
  </si>
  <si>
    <t>Лужа поперек дороги на понижении водаль</t>
  </si>
  <si>
    <t>Большая лужа в буреломе</t>
  </si>
  <si>
    <t>Ручей Белка</t>
  </si>
  <si>
    <t>Лужи посреди леса</t>
  </si>
  <si>
    <t>Небольшая лужа в колее</t>
  </si>
  <si>
    <t>Моховое болото посреди ?? Справа от дороги</t>
  </si>
  <si>
    <t>Лужа на возвышенности</t>
  </si>
  <si>
    <t>Лужа в низине</t>
  </si>
  <si>
    <t>Лужа около верховня</t>
  </si>
  <si>
    <t>Болото около верховня. Кислая почва</t>
  </si>
  <si>
    <t>Лужа через поля от болота</t>
  </si>
  <si>
    <t>Речка Наричанка</t>
  </si>
  <si>
    <t>Проток между верховней и речкой</t>
  </si>
  <si>
    <t>Лужа возвышенности</t>
  </si>
  <si>
    <t>Лужа в колее трактора</t>
  </si>
  <si>
    <t>Лужа в колее около дороги</t>
  </si>
  <si>
    <t>Болото в буреломе</t>
  </si>
  <si>
    <t>Большая лужа посреди дороги</t>
  </si>
  <si>
    <t>Огромная лужа в буреломе</t>
  </si>
  <si>
    <t>Лужи вдоль дороги слева</t>
  </si>
  <si>
    <t>Лужа с пыльцой и с коровьими какашками</t>
  </si>
  <si>
    <t>Ручей на юго-восток</t>
  </si>
  <si>
    <t>Лужа в юзапе</t>
  </si>
  <si>
    <t>Лужи посреди дороги</t>
  </si>
  <si>
    <t>Небольшая лужа в буреломе слева</t>
  </si>
  <si>
    <t>Болото около деревни Никониха</t>
  </si>
  <si>
    <t>Лужа вдоль дороги</t>
  </si>
  <si>
    <t>Лужи посреди леса (трава)</t>
  </si>
  <si>
    <t>оз. Глубошня</t>
  </si>
  <si>
    <t>Алентьев</t>
  </si>
  <si>
    <t>23\2</t>
  </si>
  <si>
    <t>23\3</t>
  </si>
  <si>
    <t>Шварев</t>
  </si>
  <si>
    <t>Наричанка</t>
  </si>
  <si>
    <t>Г4</t>
  </si>
  <si>
    <t>оз. Мошницы</t>
  </si>
  <si>
    <t>H5</t>
  </si>
  <si>
    <t>Нармина М., Аня Д., Гоша С., Илья У., Саша Г.</t>
  </si>
  <si>
    <t>Терехин, Леонова, Банин, Сторожева</t>
  </si>
  <si>
    <t>оз. 3-е Таланкинское</t>
  </si>
  <si>
    <t>р.Ущанка</t>
  </si>
  <si>
    <t>Фото</t>
  </si>
  <si>
    <t>12-001</t>
  </si>
  <si>
    <t>12-002</t>
  </si>
  <si>
    <t>12-003</t>
  </si>
  <si>
    <t>12-004</t>
  </si>
  <si>
    <t>12-005</t>
  </si>
  <si>
    <t>12-006</t>
  </si>
  <si>
    <t>12-007</t>
  </si>
  <si>
    <t>12-008</t>
  </si>
  <si>
    <t>12-009</t>
  </si>
  <si>
    <t>12-010</t>
  </si>
  <si>
    <t>12-011</t>
  </si>
  <si>
    <t>12-012</t>
  </si>
  <si>
    <t>12-013</t>
  </si>
  <si>
    <t>12-014</t>
  </si>
  <si>
    <t>12-К01</t>
  </si>
  <si>
    <t>Болото слева от дороги</t>
  </si>
  <si>
    <t>Ручей слева</t>
  </si>
  <si>
    <t>Заболоченный ручей в ольшаннике</t>
  </si>
  <si>
    <t>Лужа под ивами на заболоченном лугу</t>
  </si>
  <si>
    <t>Лужа посреди дороги в ольхе</t>
  </si>
  <si>
    <t>Озеро со сплавиной</t>
  </si>
  <si>
    <t>Болото с ивяком справа от дороги</t>
  </si>
  <si>
    <t>р. Холодная. Разлив ручья в черноольшаннике</t>
  </si>
  <si>
    <t>11-033</t>
  </si>
  <si>
    <t>11-034</t>
  </si>
  <si>
    <t>11-035</t>
  </si>
  <si>
    <t>11-036</t>
  </si>
  <si>
    <t>11-037</t>
  </si>
  <si>
    <t>11-038</t>
  </si>
  <si>
    <t>11-039</t>
  </si>
  <si>
    <t>11-040</t>
  </si>
  <si>
    <t>11-041</t>
  </si>
  <si>
    <t>11-042</t>
  </si>
  <si>
    <t>11-043</t>
  </si>
  <si>
    <t>11-044</t>
  </si>
  <si>
    <t>11-045</t>
  </si>
  <si>
    <t>11-046</t>
  </si>
  <si>
    <t>11-047</t>
  </si>
  <si>
    <t>11-048</t>
  </si>
  <si>
    <t>11-049</t>
  </si>
  <si>
    <t>11-050</t>
  </si>
  <si>
    <t>11-051</t>
  </si>
  <si>
    <t>11-052</t>
  </si>
  <si>
    <t>11-053</t>
  </si>
  <si>
    <t>11-054</t>
  </si>
  <si>
    <t>11-055</t>
  </si>
  <si>
    <t>11-056</t>
  </si>
  <si>
    <t>11-057</t>
  </si>
  <si>
    <t>11-058</t>
  </si>
  <si>
    <t>11-059</t>
  </si>
  <si>
    <t>11-060</t>
  </si>
  <si>
    <t>6232?47</t>
  </si>
  <si>
    <t>66????</t>
  </si>
  <si>
    <t>Лужи около карвера на дороге</t>
  </si>
  <si>
    <t>Лужа поперек дороги</t>
  </si>
  <si>
    <t>Лужа посреди дороги около ?</t>
  </si>
  <si>
    <t>Болотце в овраге слева</t>
  </si>
  <si>
    <t>Лужа в небольшой вохвышенности</t>
  </si>
  <si>
    <t>Лужа посреди дороги</t>
  </si>
  <si>
    <t>Болотце рядом с дорогой</t>
  </si>
  <si>
    <t>Ручеек справа от дороги</t>
  </si>
  <si>
    <t>Ручей перекрытый плотиной</t>
  </si>
  <si>
    <t>Лужа на дороге в Окасьполя</t>
  </si>
  <si>
    <t>Лужа в колее перед холмом</t>
  </si>
  <si>
    <t>Болото в овраге на луги</t>
  </si>
  <si>
    <t>Лужа в колее на луге</t>
  </si>
  <si>
    <t>Лужа во вход оса</t>
  </si>
  <si>
    <t>Лужа в колее на опушке</t>
  </si>
  <si>
    <t>Болото в низине</t>
  </si>
  <si>
    <t>Лужа в старой колее</t>
  </si>
  <si>
    <t>Лужа в колее в деревне</t>
  </si>
  <si>
    <t>Лужа в колее с деревяшкой</t>
  </si>
  <si>
    <t>Лужа в колее около столба</t>
  </si>
  <si>
    <t>Лужа в колее в низине</t>
  </si>
  <si>
    <t>22-001</t>
  </si>
  <si>
    <t>22-002</t>
  </si>
  <si>
    <t>22-003</t>
  </si>
  <si>
    <t>22-004</t>
  </si>
  <si>
    <t>22-005</t>
  </si>
  <si>
    <t>22-006</t>
  </si>
  <si>
    <t>22-007</t>
  </si>
  <si>
    <t>22-008</t>
  </si>
  <si>
    <t>22-009</t>
  </si>
  <si>
    <t>22-010</t>
  </si>
  <si>
    <t>22-011</t>
  </si>
  <si>
    <t>22-012</t>
  </si>
  <si>
    <t>22-013</t>
  </si>
  <si>
    <t>22-014</t>
  </si>
  <si>
    <t>22-015</t>
  </si>
  <si>
    <t>22-016</t>
  </si>
  <si>
    <t>22-017</t>
  </si>
  <si>
    <t>22-018</t>
  </si>
  <si>
    <t>22-019</t>
  </si>
  <si>
    <t>22-020</t>
  </si>
  <si>
    <t>22-021</t>
  </si>
  <si>
    <t>22-022</t>
  </si>
  <si>
    <t>22-023</t>
  </si>
  <si>
    <t>22-024</t>
  </si>
  <si>
    <t>22-025</t>
  </si>
  <si>
    <t>22-026</t>
  </si>
  <si>
    <t>22-027</t>
  </si>
  <si>
    <t>22-028</t>
  </si>
  <si>
    <t>22-029</t>
  </si>
  <si>
    <t>22-030</t>
  </si>
  <si>
    <t>22-031</t>
  </si>
  <si>
    <t>22-032</t>
  </si>
  <si>
    <t>22-033</t>
  </si>
  <si>
    <t>22-034</t>
  </si>
  <si>
    <t>22-035</t>
  </si>
  <si>
    <t>22-036</t>
  </si>
  <si>
    <t>22-037</t>
  </si>
  <si>
    <t>22-038</t>
  </si>
  <si>
    <t>22-039</t>
  </si>
  <si>
    <t>22-040</t>
  </si>
  <si>
    <t>22-041</t>
  </si>
  <si>
    <t>62296??</t>
  </si>
  <si>
    <t>6??????</t>
  </si>
  <si>
    <t>6229?86</t>
  </si>
  <si>
    <t>Лужа на дороге (небольшая)</t>
  </si>
  <si>
    <t>Небольшая лужа на дороге</t>
  </si>
  <si>
    <t>Средняя лужа на дороге (жуткая)</t>
  </si>
  <si>
    <t>Проток из Глубошни в Рясно</t>
  </si>
  <si>
    <t>Лужа на фоне сарая</t>
  </si>
  <si>
    <t>Ручей, вытекающий из трубы под дорогой, напр. На ЮЗ</t>
  </si>
  <si>
    <t>Лужа по центру дороги</t>
  </si>
  <si>
    <t>Лужа в тракт орной колее</t>
  </si>
  <si>
    <t>Лужа на дороге</t>
  </si>
  <si>
    <t>Болото у дороги</t>
  </si>
  <si>
    <t>Большая лужа на дороге</t>
  </si>
  <si>
    <t>Лужа с отложениями оксида железа</t>
  </si>
  <si>
    <t>Лужа на дороге в низине</t>
  </si>
  <si>
    <t>Выше по склону и соед. Ручьем с лужей</t>
  </si>
  <si>
    <t>Лужа с нефтяной пленкой в стороне от дороги (просторная, на Ю)</t>
  </si>
  <si>
    <t>Лужа у поля</t>
  </si>
  <si>
    <t>Ручей у поля, течет на ЮВ</t>
  </si>
  <si>
    <t>Пруд в стороне от поля</t>
  </si>
  <si>
    <t>Лужа в подсохшем болоте</t>
  </si>
  <si>
    <t>Большая илистая лужа</t>
  </si>
  <si>
    <t>Болото в лесу</t>
  </si>
  <si>
    <t>Лужа в лесу</t>
  </si>
  <si>
    <t>Лужа под выворотнем</t>
  </si>
  <si>
    <t>Ручеек, напраавлен с СВ на ЮЗ.</t>
  </si>
  <si>
    <t>Лужа под выворотком</t>
  </si>
  <si>
    <t>Болотина</t>
  </si>
  <si>
    <t>Болотина в траве</t>
  </si>
  <si>
    <t>Ручей с саяна на север у деревни Акулино</t>
  </si>
  <si>
    <t>Брод у оз. Долысское и деревни Акулино</t>
  </si>
  <si>
    <t>Лужи посередине дороги</t>
  </si>
  <si>
    <t>Лужа</t>
  </si>
  <si>
    <t>Болото рядом с дорогой</t>
  </si>
  <si>
    <t>Лужа на сарая в низине</t>
  </si>
  <si>
    <t>р. Ущанка в Таланкино</t>
  </si>
  <si>
    <t>Лужа поперек дороги в папоротниках</t>
  </si>
  <si>
    <t>Окисление железа (II) в Знырном ключе</t>
  </si>
  <si>
    <t>С(Na2S2O3)=</t>
  </si>
  <si>
    <t>M</t>
  </si>
  <si>
    <t>Расстояние от предыдущей, м</t>
  </si>
  <si>
    <t>Расстояние от начала, м</t>
  </si>
  <si>
    <t>С(Fe), mkM</t>
  </si>
  <si>
    <t>C(O2), mkM</t>
  </si>
  <si>
    <t>Электропроводность, мкСм/см</t>
  </si>
  <si>
    <t>c.ш., UTM</t>
  </si>
  <si>
    <t>в.д., 35V</t>
  </si>
  <si>
    <t>Время от начала, с</t>
  </si>
  <si>
    <t>Время от предыдущей, с</t>
  </si>
  <si>
    <t>Боковой приток сразу после 15 м</t>
  </si>
  <si>
    <t>Ручей с Северо-Запада на Восток</t>
  </si>
  <si>
    <t>р. Ущанка в Канашово под мостом</t>
  </si>
  <si>
    <t>Ручей в трубе в Канашово</t>
  </si>
  <si>
    <t>Колодец в Канашово</t>
  </si>
  <si>
    <t>р. Ущанка в Иванцево</t>
  </si>
  <si>
    <t>22-042</t>
  </si>
  <si>
    <t>22-043</t>
  </si>
  <si>
    <t>22-044</t>
  </si>
  <si>
    <t>22-045</t>
  </si>
  <si>
    <t>22-046</t>
  </si>
  <si>
    <t>22-047</t>
  </si>
  <si>
    <t>22-048</t>
  </si>
  <si>
    <t>22-049</t>
  </si>
  <si>
    <t>22-050</t>
  </si>
  <si>
    <t>22-051</t>
  </si>
  <si>
    <t>22-052</t>
  </si>
  <si>
    <t>22-053</t>
  </si>
  <si>
    <t>22-054</t>
  </si>
  <si>
    <t>22-055</t>
  </si>
  <si>
    <t>22-056</t>
  </si>
  <si>
    <t>22-057</t>
  </si>
  <si>
    <t>22-058</t>
  </si>
  <si>
    <t>22-059</t>
  </si>
  <si>
    <t>22-060</t>
  </si>
  <si>
    <t>22-061</t>
  </si>
  <si>
    <t>22-062</t>
  </si>
  <si>
    <t>22-063</t>
  </si>
  <si>
    <t>22-064</t>
  </si>
  <si>
    <t>22-065</t>
  </si>
  <si>
    <t>22-066</t>
  </si>
  <si>
    <t>22-067</t>
  </si>
  <si>
    <t>Лужа с камышами грунтовые дороги</t>
  </si>
  <si>
    <t>Болотце рядом с грунтовкой</t>
  </si>
  <si>
    <t>р. Белка (на восток)</t>
  </si>
  <si>
    <t>лужа на дороге рядом с р. Белка</t>
  </si>
  <si>
    <t>оз. Долысское т1</t>
  </si>
  <si>
    <t>оз. Долысское т3 заросли</t>
  </si>
  <si>
    <t>оз. Долысское т4 заросли</t>
  </si>
  <si>
    <t>оз. Долысское т5 место для купания</t>
  </si>
  <si>
    <t>вода в колодце</t>
  </si>
  <si>
    <t>лужа около колодца</t>
  </si>
  <si>
    <t>оз. Долысское т6 заболоченна</t>
  </si>
  <si>
    <t>лужа на зелёной дороге</t>
  </si>
  <si>
    <t>лужа на дороге</t>
  </si>
  <si>
    <t>лужа на дороге другая</t>
  </si>
  <si>
    <t>лужа на дороге мутная</t>
  </si>
  <si>
    <t>лужа пересекающая дорогу с плёнкой</t>
  </si>
  <si>
    <t>оз. Долысское т7 залив</t>
  </si>
  <si>
    <t>большая лужа рядом с дорогой</t>
  </si>
  <si>
    <t>большая глубокая лужа</t>
  </si>
  <si>
    <t>оз. Долысское т8</t>
  </si>
  <si>
    <t>лужа в канаве</t>
  </si>
  <si>
    <t>болото рядом с полем одуванчиков</t>
  </si>
  <si>
    <t>лужа рядом с лорогой</t>
  </si>
  <si>
    <t>оз. Долысское т9</t>
  </si>
  <si>
    <t>левый приток</t>
  </si>
  <si>
    <t>левый приток выше бе05</t>
  </si>
  <si>
    <t>левый приток выше бе06</t>
  </si>
  <si>
    <t>выше бе07</t>
  </si>
  <si>
    <t>вода под корнями возможно ключ</t>
  </si>
  <si>
    <t>левый берег нижепадния луга справа</t>
  </si>
  <si>
    <t>правый берег</t>
  </si>
  <si>
    <t>левый берег</t>
  </si>
  <si>
    <t>правый приток</t>
  </si>
  <si>
    <t>Терехин, …</t>
  </si>
  <si>
    <t>Колодец</t>
  </si>
  <si>
    <t>ключ Знырной</t>
  </si>
  <si>
    <t>р. Ущанка</t>
  </si>
  <si>
    <t>24-002</t>
  </si>
  <si>
    <t>be01</t>
  </si>
  <si>
    <t>be02</t>
  </si>
  <si>
    <t>be03</t>
  </si>
  <si>
    <t>be04</t>
  </si>
  <si>
    <t>be05</t>
  </si>
  <si>
    <t>be06</t>
  </si>
  <si>
    <t>be07</t>
  </si>
  <si>
    <t>be08</t>
  </si>
  <si>
    <t>be09</t>
  </si>
  <si>
    <t>be10</t>
  </si>
  <si>
    <t>be11</t>
  </si>
  <si>
    <t>be12</t>
  </si>
  <si>
    <t>be13</t>
  </si>
  <si>
    <t>be14</t>
  </si>
  <si>
    <t>be15</t>
  </si>
  <si>
    <t>be16</t>
  </si>
  <si>
    <t>be17</t>
  </si>
  <si>
    <t>be18</t>
  </si>
  <si>
    <t>be19</t>
  </si>
  <si>
    <t>be20</t>
  </si>
  <si>
    <t>be21</t>
  </si>
  <si>
    <t>be22</t>
  </si>
  <si>
    <t>be23</t>
  </si>
  <si>
    <t>be24</t>
  </si>
  <si>
    <t>be25</t>
  </si>
  <si>
    <t>be26</t>
  </si>
  <si>
    <t>зав. Оз. Долысского т2</t>
  </si>
  <si>
    <t>ручей, вп. В Наричанку к Ю от Никонихи</t>
  </si>
  <si>
    <t>&lt;2</t>
  </si>
  <si>
    <t>оз. Верховня</t>
  </si>
  <si>
    <t>Дима Ш., Нармина М., Дима А., Гоша С.</t>
  </si>
  <si>
    <t>Сторожева, Асланова, Леонова</t>
  </si>
  <si>
    <t>&lt;5</t>
  </si>
  <si>
    <t>оз. Ущо</t>
  </si>
  <si>
    <t>оз. Беленькое</t>
  </si>
  <si>
    <t>Шварев, Носов, Асланова, Леонова</t>
  </si>
  <si>
    <t>Сторожева, Терехин, Банин, Леонова</t>
  </si>
  <si>
    <t>Т35</t>
  </si>
  <si>
    <t>оз. Зеленец</t>
  </si>
  <si>
    <t>с.ш. Град</t>
  </si>
  <si>
    <t>в.д. Град</t>
  </si>
  <si>
    <t>EC</t>
  </si>
  <si>
    <t>pH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</si>
</sst>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mmm/yyyy"/>
    <numFmt numFmtId="169" formatCode="0.00000"/>
    <numFmt numFmtId="170" formatCode="dd/mm/yy"/>
    <numFmt numFmtId="171" formatCode="0.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color indexed="20"/>
      <name val="Arial Cyr"/>
      <family val="2"/>
    </font>
    <font>
      <sz val="10"/>
      <color indexed="16"/>
      <name val="Arial Cyr"/>
      <family val="2"/>
    </font>
    <font>
      <sz val="8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0"/>
      <color indexed="6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16" fontId="0" fillId="0" borderId="0" xfId="0" applyNumberFormat="1" applyAlignment="1">
      <alignment horizontal="right"/>
    </xf>
    <xf numFmtId="1" fontId="0" fillId="4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Мокрое!$B$19:$AR$19</c:f>
              <c:numCache/>
            </c:numRef>
          </c:xVal>
          <c:yVal>
            <c:numRef>
              <c:f>Мокрое!$B$20:$AR$20</c:f>
              <c:numCache/>
            </c:numRef>
          </c:yVal>
          <c:smooth val="0"/>
        </c:ser>
        <c:axId val="826333"/>
        <c:axId val="7436998"/>
      </c:scatterChart>
      <c:val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crossBetween val="midCat"/>
        <c:dispUnits/>
      </c:valAx>
      <c:valAx>
        <c:axId val="7436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'Fe'!$B$10:$I$10</c:f>
              <c:numCache/>
            </c:numRef>
          </c:xVal>
          <c:yVal>
            <c:numRef>
              <c:f>'Fe'!$B$11:$I$11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'Fe'!$B$10:$I$10</c:f>
              <c:numCache/>
            </c:numRef>
          </c:xVal>
          <c:yVal>
            <c:numRef>
              <c:f>'Fe'!$B$12:$I$12</c:f>
              <c:numCache/>
            </c:numRef>
          </c:yVal>
          <c:smooth val="1"/>
        </c:ser>
        <c:axId val="66932983"/>
        <c:axId val="65525936"/>
      </c:scatterChart>
      <c:val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crossBetween val="midCat"/>
        <c:dispUnits/>
      </c:valAx>
      <c:valAx>
        <c:axId val="65525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24</xdr:row>
      <xdr:rowOff>142875</xdr:rowOff>
    </xdr:from>
    <xdr:to>
      <xdr:col>14</xdr:col>
      <xdr:colOff>152400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3952875" y="4162425"/>
        <a:ext cx="4362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15</xdr:row>
      <xdr:rowOff>123825</xdr:rowOff>
    </xdr:from>
    <xdr:to>
      <xdr:col>12</xdr:col>
      <xdr:colOff>171450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343150" y="2552700"/>
        <a:ext cx="52959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1"/>
  <sheetViews>
    <sheetView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1" sqref="A11"/>
      <selection pane="bottomRight" activeCell="C19" sqref="C19"/>
    </sheetView>
  </sheetViews>
  <sheetFormatPr defaultColWidth="9.00390625" defaultRowHeight="12.75"/>
  <cols>
    <col min="1" max="1" width="24.25390625" style="0" customWidth="1"/>
    <col min="2" max="44" width="6.375" style="0" customWidth="1"/>
    <col min="45" max="116" width="8.125" style="0" customWidth="1"/>
    <col min="117" max="16384" width="5.75390625" style="0" customWidth="1"/>
  </cols>
  <sheetData>
    <row r="1" ht="15.75">
      <c r="A1" s="6" t="s">
        <v>8</v>
      </c>
    </row>
    <row r="3" spans="1:32" ht="12.75">
      <c r="A3" t="s">
        <v>9</v>
      </c>
      <c r="B3">
        <v>50</v>
      </c>
      <c r="C3" t="s">
        <v>21</v>
      </c>
      <c r="AF3" s="36"/>
    </row>
    <row r="4" spans="1:50" ht="12.75">
      <c r="A4" t="s">
        <v>10</v>
      </c>
      <c r="B4">
        <v>25</v>
      </c>
      <c r="C4" t="s">
        <v>21</v>
      </c>
      <c r="AX4" s="7"/>
    </row>
    <row r="5" spans="1:3" ht="12.75">
      <c r="A5" t="s">
        <v>11</v>
      </c>
      <c r="B5">
        <v>10</v>
      </c>
      <c r="C5" t="s">
        <v>21</v>
      </c>
    </row>
    <row r="6" spans="1:3" s="13" customFormat="1" ht="15.75">
      <c r="A6" s="13" t="s">
        <v>24</v>
      </c>
      <c r="B6" s="13">
        <v>25</v>
      </c>
      <c r="C6" s="13" t="s">
        <v>21</v>
      </c>
    </row>
    <row r="9" spans="1:84" s="13" customFormat="1" ht="12.75">
      <c r="A9" t="s">
        <v>0</v>
      </c>
      <c r="B9" s="30">
        <v>1</v>
      </c>
      <c r="C9" s="30">
        <v>1</v>
      </c>
      <c r="D9" s="29">
        <v>1</v>
      </c>
      <c r="E9">
        <v>2</v>
      </c>
      <c r="F9" s="29">
        <v>2</v>
      </c>
      <c r="G9" s="29">
        <v>3</v>
      </c>
      <c r="H9" s="32">
        <v>3</v>
      </c>
      <c r="I9" s="30">
        <v>4</v>
      </c>
      <c r="J9" s="30">
        <v>5</v>
      </c>
      <c r="K9">
        <v>5</v>
      </c>
      <c r="L9" s="30">
        <v>7</v>
      </c>
      <c r="M9">
        <v>7</v>
      </c>
      <c r="N9" s="29">
        <v>7</v>
      </c>
      <c r="O9" s="29">
        <v>7</v>
      </c>
      <c r="P9" s="29">
        <v>8</v>
      </c>
      <c r="Q9">
        <v>10</v>
      </c>
      <c r="R9" s="30">
        <v>10</v>
      </c>
      <c r="S9" s="29">
        <v>10</v>
      </c>
      <c r="T9" s="30">
        <v>11</v>
      </c>
      <c r="U9" s="29">
        <v>11</v>
      </c>
      <c r="V9" s="30">
        <v>12</v>
      </c>
      <c r="W9" s="31">
        <v>14</v>
      </c>
      <c r="X9" s="30">
        <v>14</v>
      </c>
      <c r="Y9" s="29">
        <v>19</v>
      </c>
      <c r="Z9" s="30">
        <v>22</v>
      </c>
      <c r="AA9" s="30">
        <v>23</v>
      </c>
      <c r="AB9" s="30">
        <v>24</v>
      </c>
      <c r="AC9" s="30">
        <v>27</v>
      </c>
      <c r="AD9" s="30">
        <v>29</v>
      </c>
      <c r="AE9" s="30">
        <v>34</v>
      </c>
      <c r="AF9" s="29">
        <v>35</v>
      </c>
      <c r="AG9" s="30">
        <v>41</v>
      </c>
      <c r="AH9" s="30" t="s">
        <v>26</v>
      </c>
      <c r="AI9" s="34" t="s">
        <v>100</v>
      </c>
      <c r="AJ9" s="30" t="s">
        <v>101</v>
      </c>
      <c r="AK9" s="29" t="s">
        <v>33</v>
      </c>
      <c r="AL9" s="30" t="s">
        <v>106</v>
      </c>
      <c r="AM9" s="30" t="s">
        <v>34</v>
      </c>
      <c r="AN9" s="30" t="s">
        <v>104</v>
      </c>
      <c r="AO9" s="30"/>
      <c r="AP9" s="30"/>
      <c r="AQ9" s="30"/>
      <c r="AR9" s="30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</row>
    <row r="10" spans="1:43" ht="12.75">
      <c r="A10" t="s">
        <v>12</v>
      </c>
      <c r="B10" t="s">
        <v>98</v>
      </c>
      <c r="C10" t="s">
        <v>98</v>
      </c>
      <c r="D10" s="2"/>
      <c r="H10" t="s">
        <v>103</v>
      </c>
      <c r="J10" t="s">
        <v>22</v>
      </c>
      <c r="K10" t="s">
        <v>22</v>
      </c>
      <c r="L10" t="s">
        <v>27</v>
      </c>
      <c r="M10" t="s">
        <v>27</v>
      </c>
      <c r="N10" t="s">
        <v>27</v>
      </c>
      <c r="P10" t="s">
        <v>385</v>
      </c>
      <c r="Q10" t="s">
        <v>376</v>
      </c>
      <c r="U10" t="s">
        <v>381</v>
      </c>
      <c r="V10" t="s">
        <v>109</v>
      </c>
      <c r="W10" s="17" t="s">
        <v>110</v>
      </c>
      <c r="X10" t="s">
        <v>345</v>
      </c>
      <c r="Y10" t="s">
        <v>380</v>
      </c>
      <c r="AE10" t="s">
        <v>344</v>
      </c>
      <c r="AN10" t="s">
        <v>105</v>
      </c>
      <c r="AP10" t="s">
        <v>374</v>
      </c>
      <c r="AQ10" t="s">
        <v>343</v>
      </c>
    </row>
    <row r="11" ht="12.75">
      <c r="A11" t="s">
        <v>4</v>
      </c>
    </row>
    <row r="12" ht="12.75">
      <c r="A12" t="s">
        <v>3</v>
      </c>
    </row>
    <row r="13" spans="1:46" ht="12.75">
      <c r="A13" t="s">
        <v>13</v>
      </c>
      <c r="B13" s="28" t="s">
        <v>99</v>
      </c>
      <c r="C13" s="28" t="s">
        <v>107</v>
      </c>
      <c r="D13" s="13" t="s">
        <v>383</v>
      </c>
      <c r="E13" t="s">
        <v>28</v>
      </c>
      <c r="F13" s="13" t="s">
        <v>378</v>
      </c>
      <c r="G13" s="13" t="s">
        <v>378</v>
      </c>
      <c r="H13" s="28"/>
      <c r="I13" s="13" t="s">
        <v>378</v>
      </c>
      <c r="J13" t="s">
        <v>99</v>
      </c>
      <c r="K13" s="28" t="s">
        <v>29</v>
      </c>
      <c r="L13" s="28" t="s">
        <v>102</v>
      </c>
      <c r="M13" s="28" t="s">
        <v>29</v>
      </c>
      <c r="N13" s="18"/>
      <c r="O13" s="37" t="s">
        <v>382</v>
      </c>
      <c r="P13" s="37"/>
      <c r="Q13" s="28" t="s">
        <v>29</v>
      </c>
      <c r="R13" s="28"/>
      <c r="S13" s="37" t="s">
        <v>382</v>
      </c>
      <c r="T13" s="13" t="s">
        <v>378</v>
      </c>
      <c r="U13" s="13"/>
      <c r="V13" s="28" t="s">
        <v>108</v>
      </c>
      <c r="W13" s="28" t="s">
        <v>108</v>
      </c>
      <c r="X13" s="28" t="s">
        <v>342</v>
      </c>
      <c r="Y13" s="13"/>
      <c r="Z13" s="28" t="s">
        <v>99</v>
      </c>
      <c r="AA13" s="28" t="s">
        <v>99</v>
      </c>
      <c r="AB13" s="28" t="s">
        <v>108</v>
      </c>
      <c r="AC13" t="s">
        <v>377</v>
      </c>
      <c r="AD13" t="s">
        <v>377</v>
      </c>
      <c r="AE13" s="28" t="s">
        <v>342</v>
      </c>
      <c r="AF13" t="s">
        <v>377</v>
      </c>
      <c r="AG13" t="s">
        <v>377</v>
      </c>
      <c r="AH13" s="28" t="s">
        <v>35</v>
      </c>
      <c r="AI13" s="28" t="s">
        <v>99</v>
      </c>
      <c r="AJ13" t="s">
        <v>99</v>
      </c>
      <c r="AK13" s="28" t="s">
        <v>35</v>
      </c>
      <c r="AL13" s="28"/>
      <c r="AM13" s="28" t="s">
        <v>35</v>
      </c>
      <c r="AN13" s="28"/>
      <c r="AP13" s="28"/>
      <c r="AQ13" s="28" t="s">
        <v>342</v>
      </c>
      <c r="AS13" s="13"/>
      <c r="AT13" s="13"/>
    </row>
    <row r="14" spans="1:84" ht="12.75">
      <c r="A14" t="s">
        <v>1</v>
      </c>
      <c r="B14" s="18">
        <v>39971</v>
      </c>
      <c r="C14" s="18">
        <v>39971</v>
      </c>
      <c r="D14" s="18">
        <v>39971</v>
      </c>
      <c r="E14" s="18">
        <v>39972</v>
      </c>
      <c r="F14" s="18">
        <v>39974</v>
      </c>
      <c r="G14" s="18">
        <v>39974</v>
      </c>
      <c r="H14" s="18"/>
      <c r="I14" s="18">
        <v>39974</v>
      </c>
      <c r="J14" s="18">
        <v>39971</v>
      </c>
      <c r="K14" s="27">
        <v>39972</v>
      </c>
      <c r="L14" s="18">
        <v>39971</v>
      </c>
      <c r="M14" s="27">
        <v>39972</v>
      </c>
      <c r="N14" s="18">
        <v>39974</v>
      </c>
      <c r="O14" s="18">
        <v>39975</v>
      </c>
      <c r="P14" s="18"/>
      <c r="Q14" s="27">
        <v>39972</v>
      </c>
      <c r="R14" s="18">
        <v>39972</v>
      </c>
      <c r="S14" s="18">
        <v>39975</v>
      </c>
      <c r="T14" s="18">
        <v>39974</v>
      </c>
      <c r="U14" s="18">
        <v>39974</v>
      </c>
      <c r="V14" s="18">
        <v>39973</v>
      </c>
      <c r="W14" s="18">
        <v>39973</v>
      </c>
      <c r="X14" s="18">
        <v>39975</v>
      </c>
      <c r="Y14" s="18">
        <v>39974</v>
      </c>
      <c r="Z14" s="18">
        <v>39971</v>
      </c>
      <c r="AA14" s="18">
        <v>39971</v>
      </c>
      <c r="AB14" s="18">
        <v>39973</v>
      </c>
      <c r="AC14" s="18">
        <v>39974</v>
      </c>
      <c r="AD14" s="18">
        <v>39974</v>
      </c>
      <c r="AE14" s="18">
        <v>39975</v>
      </c>
      <c r="AF14" s="18">
        <v>39974</v>
      </c>
      <c r="AG14" s="18">
        <v>39974</v>
      </c>
      <c r="AH14" s="18">
        <v>39972</v>
      </c>
      <c r="AI14" s="18">
        <v>39971</v>
      </c>
      <c r="AJ14" s="18">
        <v>39971</v>
      </c>
      <c r="AK14" s="18">
        <v>39972</v>
      </c>
      <c r="AL14" s="18">
        <v>39973</v>
      </c>
      <c r="AM14" s="18">
        <v>39972</v>
      </c>
      <c r="AN14" s="18">
        <v>39973</v>
      </c>
      <c r="AO14" s="18">
        <v>25365</v>
      </c>
      <c r="AP14" s="18">
        <v>39973</v>
      </c>
      <c r="AQ14" s="18">
        <v>39975</v>
      </c>
      <c r="AR14" s="18">
        <v>39975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S14" s="2"/>
      <c r="BT14" s="2"/>
      <c r="BU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12.75">
      <c r="A15" t="s">
        <v>2</v>
      </c>
      <c r="B15" s="1">
        <v>0.5416666666666666</v>
      </c>
      <c r="C15" s="1">
        <v>0.5416666666666666</v>
      </c>
      <c r="D15" s="1">
        <v>0.5416666666666666</v>
      </c>
      <c r="E15" s="1">
        <v>0.6875</v>
      </c>
      <c r="F15" s="1">
        <v>0.7291666666666666</v>
      </c>
      <c r="G15" s="1">
        <v>0.6875</v>
      </c>
      <c r="H15" s="1"/>
      <c r="I15" s="1">
        <v>0.5520833333333334</v>
      </c>
      <c r="J15" s="18"/>
      <c r="K15" s="1">
        <v>0.4791666666666667</v>
      </c>
      <c r="L15" s="18"/>
      <c r="M15" s="1">
        <v>0.5520833333333334</v>
      </c>
      <c r="N15" s="1">
        <v>0.5208333333333334</v>
      </c>
      <c r="O15" s="1">
        <v>0.5277777777777778</v>
      </c>
      <c r="P15" s="1"/>
      <c r="Q15" s="1">
        <v>0.7083333333333334</v>
      </c>
      <c r="R15" s="1"/>
      <c r="S15" s="1">
        <v>0.5694444444444444</v>
      </c>
      <c r="T15" s="1"/>
      <c r="U15" s="1">
        <v>0.8055555555555555</v>
      </c>
      <c r="V15" s="1">
        <v>0.4583333333333333</v>
      </c>
      <c r="W15" s="24">
        <v>0.5</v>
      </c>
      <c r="X15" s="1"/>
      <c r="Y15" s="1">
        <v>0.6909722222222222</v>
      </c>
      <c r="Z15" s="1">
        <v>0.5</v>
      </c>
      <c r="AA15" s="1"/>
      <c r="AB15" s="24">
        <v>0.6458333333333334</v>
      </c>
      <c r="AC15" s="1">
        <v>0.6666666666666666</v>
      </c>
      <c r="AD15" s="1">
        <v>0.5833333333333334</v>
      </c>
      <c r="AE15" s="1">
        <v>0.5208333333333334</v>
      </c>
      <c r="AF15" s="1">
        <v>0.71875</v>
      </c>
      <c r="AG15" s="1"/>
      <c r="AH15" s="1">
        <v>0.6909722222222222</v>
      </c>
      <c r="AI15" s="1"/>
      <c r="AJ15" s="1"/>
      <c r="AK15" s="1">
        <v>0.513888888888889</v>
      </c>
      <c r="AL15" s="1"/>
      <c r="AM15" s="1">
        <v>0.5625</v>
      </c>
      <c r="AN15" s="1">
        <v>0.513888888888889</v>
      </c>
      <c r="AO15" s="1">
        <v>0.5277777777777778</v>
      </c>
      <c r="AP15" s="1"/>
      <c r="AQ15" s="1">
        <v>0.5416666666666666</v>
      </c>
      <c r="AR15" s="1">
        <v>0.5694444444444444</v>
      </c>
      <c r="AS15" s="1"/>
      <c r="AT15" s="1"/>
      <c r="AU15" s="1"/>
      <c r="AX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L15" s="1"/>
      <c r="BM15" s="1"/>
      <c r="BN15" s="1"/>
      <c r="BO15" s="1"/>
      <c r="BP15" s="1"/>
      <c r="BQ15" s="1"/>
      <c r="BS15" s="1"/>
      <c r="BT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73" ht="12.75">
      <c r="A16" t="s">
        <v>14</v>
      </c>
      <c r="B16" s="25">
        <f>100*5.6/9.6</f>
        <v>58.333333333333336</v>
      </c>
      <c r="C16" s="8">
        <f>100*57/74</f>
        <v>77.02702702702703</v>
      </c>
      <c r="D16">
        <v>90</v>
      </c>
      <c r="E16" s="21">
        <f>500*18/41</f>
        <v>219.5121951219512</v>
      </c>
      <c r="F16" s="8">
        <v>500</v>
      </c>
      <c r="G16" s="8">
        <v>90</v>
      </c>
      <c r="H16" s="25">
        <f>100*60/75</f>
        <v>80</v>
      </c>
      <c r="I16">
        <v>45</v>
      </c>
      <c r="K16" s="25">
        <f>100*4.6/6.6</f>
        <v>69.69696969696969</v>
      </c>
      <c r="M16" s="25">
        <f>100*4.1/6.5</f>
        <v>63.076923076923066</v>
      </c>
      <c r="N16" s="8">
        <f>100*3.3/2</f>
        <v>165</v>
      </c>
      <c r="O16">
        <f>100*15/25</f>
        <v>60</v>
      </c>
      <c r="P16">
        <f>100*90/50</f>
        <v>180</v>
      </c>
      <c r="Q16" s="25">
        <f>100*5.1/6.3</f>
        <v>80.95238095238095</v>
      </c>
      <c r="R16" s="17"/>
      <c r="S16">
        <f>100*3/3.5</f>
        <v>85.71428571428571</v>
      </c>
      <c r="T16">
        <v>150</v>
      </c>
      <c r="U16">
        <f>100*2.6/7.2</f>
        <v>36.11111111111111</v>
      </c>
      <c r="V16" s="8">
        <v>100</v>
      </c>
      <c r="W16" s="8">
        <v>50</v>
      </c>
      <c r="X16" s="8">
        <f>100*80/130</f>
        <v>61.53846153846154</v>
      </c>
      <c r="Z16" s="25"/>
      <c r="AB16" s="8"/>
      <c r="AC16" s="8">
        <f>100*4/6.5</f>
        <v>61.53846153846154</v>
      </c>
      <c r="AD16" s="8">
        <f>100*50/100</f>
        <v>50</v>
      </c>
      <c r="AE16" s="8">
        <f>100*60/100</f>
        <v>60</v>
      </c>
      <c r="AF16" s="8">
        <f>100*3.5/5</f>
        <v>70</v>
      </c>
      <c r="AH16" s="17">
        <v>40</v>
      </c>
      <c r="AK16" s="35">
        <v>100</v>
      </c>
      <c r="AL16" s="8">
        <f>100*40/68</f>
        <v>58.8235294117647</v>
      </c>
      <c r="AM16" s="25">
        <f>110</f>
        <v>110</v>
      </c>
      <c r="AN16" s="8">
        <f>100*4.5/6.2</f>
        <v>72.58064516129032</v>
      </c>
      <c r="AO16" s="8">
        <f>100*1.5/2.5</f>
        <v>60</v>
      </c>
      <c r="AP16" s="8">
        <v>100</v>
      </c>
      <c r="AQ16" s="8"/>
      <c r="AR16" s="8">
        <f>100*3/3.5</f>
        <v>85.71428571428571</v>
      </c>
      <c r="AX16" s="8"/>
      <c r="AY16" s="8"/>
      <c r="AZ16" s="8"/>
      <c r="BB16" s="8"/>
      <c r="BD16" s="8"/>
      <c r="BE16" s="8"/>
      <c r="BJ16" s="8"/>
      <c r="BN16" s="8"/>
      <c r="BO16" s="8"/>
      <c r="BU16" s="8"/>
    </row>
    <row r="17" spans="1:44" ht="12.75">
      <c r="A17" t="s">
        <v>15</v>
      </c>
      <c r="B17" s="17">
        <v>222</v>
      </c>
      <c r="C17">
        <v>219</v>
      </c>
      <c r="D17">
        <v>219</v>
      </c>
      <c r="E17">
        <v>120</v>
      </c>
      <c r="F17">
        <v>292</v>
      </c>
      <c r="G17">
        <v>268</v>
      </c>
      <c r="H17">
        <v>303</v>
      </c>
      <c r="I17">
        <v>220</v>
      </c>
      <c r="K17">
        <v>135</v>
      </c>
      <c r="M17">
        <v>193</v>
      </c>
      <c r="N17">
        <v>168</v>
      </c>
      <c r="O17">
        <v>123</v>
      </c>
      <c r="Q17">
        <v>125</v>
      </c>
      <c r="R17" s="17">
        <v>130</v>
      </c>
      <c r="S17">
        <v>114</v>
      </c>
      <c r="T17">
        <v>120</v>
      </c>
      <c r="U17">
        <v>124</v>
      </c>
      <c r="V17">
        <v>20</v>
      </c>
      <c r="W17">
        <v>169</v>
      </c>
      <c r="Y17">
        <v>111</v>
      </c>
      <c r="Z17" s="17">
        <v>151</v>
      </c>
      <c r="AA17" s="17">
        <v>211</v>
      </c>
      <c r="AB17">
        <v>72</v>
      </c>
      <c r="AC17">
        <v>170</v>
      </c>
      <c r="AD17">
        <v>175</v>
      </c>
      <c r="AE17">
        <v>482</v>
      </c>
      <c r="AF17">
        <v>191</v>
      </c>
      <c r="AG17">
        <v>216</v>
      </c>
      <c r="AH17" s="17">
        <v>119</v>
      </c>
      <c r="AI17" s="17">
        <v>185</v>
      </c>
      <c r="AJ17" s="17">
        <v>120</v>
      </c>
      <c r="AK17">
        <v>327</v>
      </c>
      <c r="AL17">
        <v>144</v>
      </c>
      <c r="AM17">
        <v>289</v>
      </c>
      <c r="AN17">
        <v>128</v>
      </c>
      <c r="AO17">
        <v>123</v>
      </c>
      <c r="AP17">
        <v>339</v>
      </c>
      <c r="AR17">
        <v>114</v>
      </c>
    </row>
    <row r="18" spans="1:44" ht="12.75">
      <c r="A18" t="s">
        <v>7</v>
      </c>
      <c r="B18" s="17">
        <v>8.07</v>
      </c>
      <c r="C18">
        <v>8.07</v>
      </c>
      <c r="D18">
        <v>8.07</v>
      </c>
      <c r="E18">
        <v>7.33</v>
      </c>
      <c r="F18">
        <v>7.01</v>
      </c>
      <c r="G18">
        <v>7.84</v>
      </c>
      <c r="H18">
        <v>7.83</v>
      </c>
      <c r="I18">
        <v>7.83</v>
      </c>
      <c r="K18">
        <v>7.85</v>
      </c>
      <c r="M18">
        <v>8</v>
      </c>
      <c r="O18">
        <v>7.35</v>
      </c>
      <c r="P18">
        <v>5.6</v>
      </c>
      <c r="Q18">
        <v>7.95</v>
      </c>
      <c r="R18">
        <v>7.7</v>
      </c>
      <c r="S18">
        <v>7.84</v>
      </c>
      <c r="T18">
        <v>7.54</v>
      </c>
      <c r="V18">
        <v>5.75</v>
      </c>
      <c r="W18">
        <v>7.6</v>
      </c>
      <c r="Z18" s="17">
        <v>7.96</v>
      </c>
      <c r="AA18" s="17">
        <v>8</v>
      </c>
      <c r="AB18">
        <v>7.41</v>
      </c>
      <c r="AC18">
        <v>7.25</v>
      </c>
      <c r="AD18">
        <v>7.82</v>
      </c>
      <c r="AE18">
        <v>8.35</v>
      </c>
      <c r="AF18">
        <v>7.7</v>
      </c>
      <c r="AG18">
        <v>7.65</v>
      </c>
      <c r="AH18" s="17">
        <v>7.36</v>
      </c>
      <c r="AI18" s="17">
        <v>7.62</v>
      </c>
      <c r="AJ18" s="17">
        <v>7.98</v>
      </c>
      <c r="AK18">
        <v>7.51</v>
      </c>
      <c r="AL18">
        <v>7.96</v>
      </c>
      <c r="AM18">
        <v>7.89</v>
      </c>
      <c r="AN18">
        <v>7.65</v>
      </c>
      <c r="AO18">
        <v>7.35</v>
      </c>
      <c r="AP18">
        <v>6.86</v>
      </c>
      <c r="AR18">
        <v>7.84</v>
      </c>
    </row>
    <row r="19" spans="1:78" ht="12.75">
      <c r="A19" t="s">
        <v>16</v>
      </c>
      <c r="B19" s="26">
        <f>AVERAGE(4.2,4.9,5,5)*$B$3/100</f>
        <v>2.3875</v>
      </c>
      <c r="C19" s="26">
        <f>AVERAGE(4.4,4.8,4.6)*$B$3/100</f>
        <v>2.3</v>
      </c>
      <c r="D19" s="26">
        <f>AVERAGE(4.9,5,4.9)*$B$3/100</f>
        <v>2.466666666666667</v>
      </c>
      <c r="E19" s="12">
        <f>AVERAGE(8,8.81)*$B$3/100</f>
        <v>4.202500000000001</v>
      </c>
      <c r="F19" s="26">
        <f>AVERAGE(5,5.2,5)*$B$3/100</f>
        <v>2.533333333333333</v>
      </c>
      <c r="G19" s="26">
        <f>AVERAGE(6.2,6,6.1)*$B$3/100</f>
        <v>3.0499999999999994</v>
      </c>
      <c r="H19" s="26">
        <f>AVERAGE(8,7.9,8)*$B$3/100</f>
        <v>3.983333333333333</v>
      </c>
      <c r="I19" s="26">
        <f>AVERAGE(5,4.9,4.9)*$B$3/100</f>
        <v>2.466666666666667</v>
      </c>
      <c r="J19" s="26">
        <f>AVERAGE(3,3,4)*$B$3/100</f>
        <v>1.666666666666667</v>
      </c>
      <c r="K19" s="12">
        <f>AVERAGE(3.2,3.5,3.4,3.4)*$B$3/100</f>
        <v>1.6875</v>
      </c>
      <c r="L19" s="26">
        <f>AVERAGE(5,5.1,5.1)*$B$3/100</f>
        <v>2.533333333333333</v>
      </c>
      <c r="M19" s="12">
        <f>AVERAGE(4.6,4.6,4.4)*$B$3/100</f>
        <v>2.2666666666666666</v>
      </c>
      <c r="N19" s="26">
        <f>AVERAGE(6.5,6.3,6.4)*$B$3/100</f>
        <v>3.2000000000000006</v>
      </c>
      <c r="O19" s="26">
        <f>AVERAGE(3.2,3.2,3.4)*$B$3/100</f>
        <v>1.6333333333333335</v>
      </c>
      <c r="P19" s="26">
        <f>0.4*$B$3/100</f>
        <v>0.2</v>
      </c>
      <c r="Q19" s="12">
        <f>AVERAGE(3.8,3.7,3.6,3.8)*$B$3/100</f>
        <v>1.8624999999999998</v>
      </c>
      <c r="R19" s="12">
        <f>AVERAGE(3,2.9,2.9)*$B$3/100</f>
        <v>1.4666666666666668</v>
      </c>
      <c r="S19" s="26">
        <f>AVERAGE(2.8,3,2.8)*$B$3/100</f>
        <v>1.4333333333333333</v>
      </c>
      <c r="T19" s="26">
        <f>AVERAGE(2.9,3,3)*$B$3/100</f>
        <v>1.4833333333333334</v>
      </c>
      <c r="U19" s="26">
        <f>AVERAGE(4.4,4.6,4.4)*$B$3/100</f>
        <v>2.2333333333333334</v>
      </c>
      <c r="V19" s="26">
        <f>AVERAGE(1.9,1.8,1.9)*$B$3/100</f>
        <v>0.9333333333333332</v>
      </c>
      <c r="W19" s="39">
        <f>AVERAGE(1.5)*$B$3/100</f>
        <v>0.75</v>
      </c>
      <c r="X19" s="26">
        <f>AVERAGE(3.6,3.6,3.7)*$B$3/100</f>
        <v>1.8166666666666667</v>
      </c>
      <c r="Y19" s="26">
        <f>AVERAGE(3.9,3.8,4)*$B$3/100</f>
        <v>1.95</v>
      </c>
      <c r="Z19" s="26">
        <f>AVERAGE(4.9)*$B$3/100</f>
        <v>2.45</v>
      </c>
      <c r="AA19" s="26">
        <f>AVERAGE(6,5.9,6)*$B$3/100</f>
        <v>2.983333333333333</v>
      </c>
      <c r="AB19" s="26">
        <f>AVERAGE(2.2)*$B$3/100</f>
        <v>1.1</v>
      </c>
      <c r="AC19" s="26">
        <f>AVERAGE(3.6)*$B$3/100</f>
        <v>1.8</v>
      </c>
      <c r="AD19" s="26">
        <f>AVERAGE(3.8,3.75,3.8)*$B$3/100</f>
        <v>1.8916666666666666</v>
      </c>
      <c r="AE19" s="26">
        <f>AVERAGE(11,10.8,10.9)*$B$3/100</f>
        <v>5.45</v>
      </c>
      <c r="AF19" s="26">
        <f>AVERAGE(4.4,4.3,4.4)*$B$3/100</f>
        <v>2.183333333333333</v>
      </c>
      <c r="AG19" s="26">
        <f>AVERAGE(4.8,4.7,4.75)*$B$3/100</f>
        <v>2.375</v>
      </c>
      <c r="AH19" s="26">
        <f>AVERAGE(3.5,3.5,3.5)*$B$3/100</f>
        <v>1.75</v>
      </c>
      <c r="AI19" s="12"/>
      <c r="AJ19" s="26">
        <f>AVERAGE(2.9,3.4,3)*$B$3/100</f>
        <v>1.55</v>
      </c>
      <c r="AK19" s="12">
        <f>AVERAGE(3.9,3.3)*$B$3/100</f>
        <v>1.7999999999999998</v>
      </c>
      <c r="AL19" s="26">
        <f>AVERAGE(7.1,7,6.9)*$B$3/100</f>
        <v>3.5</v>
      </c>
      <c r="AM19" s="38">
        <f>AVERAGE(2.2,2.2,2.2)*$B$3/100</f>
        <v>1.1</v>
      </c>
      <c r="AN19" s="26">
        <f>AVERAGE(3.6,3.5,3.4)*$B$3/100</f>
        <v>1.75</v>
      </c>
      <c r="AO19" s="26">
        <f>AVERAGE(3.2,3.2,3.4)*$B$3/100</f>
        <v>1.6333333333333335</v>
      </c>
      <c r="AP19" s="26">
        <f>AVERAGE(7.8,8,8)*$B$3/100</f>
        <v>3.966666666666667</v>
      </c>
      <c r="AQ19" s="26">
        <f>AVERAGE(10.2,10.2,10.1)*$B$3/100</f>
        <v>5.083333333333333</v>
      </c>
      <c r="AR19" s="26">
        <f>AVERAGE(2.8,3,2.8)*$B$3/100</f>
        <v>1.4333333333333333</v>
      </c>
      <c r="AS19" s="12"/>
      <c r="AT19" s="12"/>
      <c r="AU19" s="12"/>
      <c r="AX19" s="9"/>
      <c r="AY19" s="9"/>
      <c r="AZ19" s="9"/>
      <c r="BB19" s="9"/>
      <c r="BD19" s="9"/>
      <c r="BE19" s="9"/>
      <c r="BG19" s="9"/>
      <c r="BI19" s="9"/>
      <c r="BJ19" s="9"/>
      <c r="BN19" s="9"/>
      <c r="BO19" s="9"/>
      <c r="BR19" s="9"/>
      <c r="BU19" s="9"/>
      <c r="BZ19" s="9"/>
    </row>
    <row r="20" spans="1:78" ht="12.75">
      <c r="A20" t="s">
        <v>17</v>
      </c>
      <c r="B20" s="26">
        <f>AVERAGE(5.4,5,5.9,5.9)*$B$4/100</f>
        <v>1.3875000000000002</v>
      </c>
      <c r="C20" s="26">
        <f>AVERAGE(4.7,4.8,4.8)*$B$4/100</f>
        <v>1.1916666666666667</v>
      </c>
      <c r="D20" s="26">
        <f>AVERAGE(4.9,4.9,5)*$B$4/100</f>
        <v>1.2333333333333334</v>
      </c>
      <c r="E20" s="12">
        <f>AVERAGE(8,7.8,8)*$B$4/100</f>
        <v>1.9833333333333334</v>
      </c>
      <c r="F20" s="26">
        <f>AVERAGE(5.4,5.2,5.2)*$B$4/100</f>
        <v>1.3166666666666667</v>
      </c>
      <c r="G20" s="26">
        <f>AVERAGE(6)*$B$4/100</f>
        <v>1.5</v>
      </c>
      <c r="H20" s="26">
        <f>AVERAGE(7,6.9,7)*$B$4/100</f>
        <v>1.7416666666666665</v>
      </c>
      <c r="I20" s="26">
        <f>AVERAGE(4.8,5,5)*$B$4/100</f>
        <v>1.2333333333333334</v>
      </c>
      <c r="J20" s="26">
        <f>AVERAGE(3.6,3.4,3.2)*$B$4/100</f>
        <v>0.85</v>
      </c>
      <c r="K20" s="12">
        <f>AVERAGE(4.2,3.2,3.4,3.6)*$B$4/100</f>
        <v>0.9</v>
      </c>
      <c r="L20" s="26">
        <f>AVERAGE(3.9,4,4.2)*$B$4/100</f>
        <v>1.0083333333333335</v>
      </c>
      <c r="M20" s="12">
        <f>AVERAGE(3.8,3.7,3.8)*$B$4/100</f>
        <v>0.9416666666666668</v>
      </c>
      <c r="N20" s="26">
        <f>AVERAGE(4.6,4.7,4.6)*$B$4/100</f>
        <v>1.1583333333333334</v>
      </c>
      <c r="O20" s="26">
        <f>AVERAGE(5.2,5,5.2)*$B$4/100</f>
        <v>1.2833333333333332</v>
      </c>
      <c r="P20" s="26">
        <f>AVERAGE(0.5,0.4,0.4)*$B$4/100</f>
        <v>0.10833333333333334</v>
      </c>
      <c r="Q20" s="12">
        <f>AVERAGE(2.7,2.6,2.8)*$B$4/100</f>
        <v>0.6750000000000002</v>
      </c>
      <c r="R20" s="12">
        <f>AVERAGE(5.5,5.6,5.5)*$B$4/100</f>
        <v>1.3833333333333335</v>
      </c>
      <c r="S20" s="26">
        <f>AVERAGE(4,4.2,4)*$B$4/100</f>
        <v>1.0166666666666666</v>
      </c>
      <c r="T20" s="26">
        <f>AVERAGE(3,3.2,3.1)*$B$4/100</f>
        <v>0.775</v>
      </c>
      <c r="U20" s="26">
        <f>AVERAGE(2.7,3.3,3.2)*$B$4/100</f>
        <v>0.7666666666666666</v>
      </c>
      <c r="V20" s="26">
        <f>AVERAGE(1.5,1.6,1.5)*$B$4/100</f>
        <v>0.3833333333333333</v>
      </c>
      <c r="W20" s="39">
        <f>AVERAGE(4.8)*$B$4/100</f>
        <v>1.2</v>
      </c>
      <c r="X20" s="26">
        <f>AVERAGE(3.6,3.4,3.4)*$B$4/100</f>
        <v>0.8666666666666667</v>
      </c>
      <c r="Y20" s="26">
        <f>AVERAGE(3,3.1,3.3)*$B$4/100</f>
        <v>0.7833333333333331</v>
      </c>
      <c r="Z20" s="26">
        <f>AVERAGE(3)*$B$4/100</f>
        <v>0.75</v>
      </c>
      <c r="AA20" s="26">
        <f>AVERAGE(6,5.4,5.6)*$B$4/100</f>
        <v>1.416666666666667</v>
      </c>
      <c r="AB20" s="26">
        <f>AVERAGE(2.2,2.1,2.1)*$B$4/100</f>
        <v>0.5333333333333333</v>
      </c>
      <c r="AC20" s="26">
        <f>AVERAGE(3.6,3.6,3.5)*$B$4/100</f>
        <v>0.8916666666666666</v>
      </c>
      <c r="AD20" s="26">
        <f>AVERAGE(3.6,3.6,3.7)*$B$4/100</f>
        <v>0.9083333333333333</v>
      </c>
      <c r="AE20" s="26">
        <f>AVERAGE(11.8,11.8,11.7)*$B$4/100</f>
        <v>2.9416666666666664</v>
      </c>
      <c r="AF20" s="26">
        <f>AVERAGE(4.2,4.1,4.2)*$B$4/100</f>
        <v>1.0416666666666667</v>
      </c>
      <c r="AG20" s="26">
        <f>AVERAGE(4.7,4.6,4.7)*$B$4/100</f>
        <v>1.1666666666666667</v>
      </c>
      <c r="AH20" s="26">
        <f>AVERAGE(4,4,4)*$B$4/100</f>
        <v>1</v>
      </c>
      <c r="AI20" s="12"/>
      <c r="AJ20" s="12"/>
      <c r="AK20" s="12">
        <f>AVERAGE(5,4.8,4.9)*$B$4/100</f>
        <v>1.225</v>
      </c>
      <c r="AL20" s="26">
        <f>AVERAGE(7.3,7.2,7.2)*$B$4/100</f>
        <v>1.8083333333333333</v>
      </c>
      <c r="AM20" s="38">
        <f>AVERAGE(5.6,5.7,5.7)*$B$4/100</f>
        <v>1.416666666666667</v>
      </c>
      <c r="AN20" s="26">
        <f>AVERAGE(3,2.9,2.9)*$B$4/100</f>
        <v>0.7333333333333334</v>
      </c>
      <c r="AO20" s="26">
        <f>AVERAGE(5.2,5.2,5)*$B$4/100</f>
        <v>1.2833333333333334</v>
      </c>
      <c r="AP20" s="26">
        <f>AVERAGE(8.1,8,8.1)*$B$4/100</f>
        <v>2.016666666666667</v>
      </c>
      <c r="AQ20" s="26">
        <f>AVERAGE(10.2,10.1,10.2)*$B$4/100</f>
        <v>2.5416666666666665</v>
      </c>
      <c r="AR20" s="26">
        <f>AVERAGE(4,4.2,4)*$B$4/100</f>
        <v>1.0166666666666666</v>
      </c>
      <c r="AS20" s="12"/>
      <c r="AT20" s="12"/>
      <c r="AU20" s="12"/>
      <c r="AX20" s="9"/>
      <c r="AY20" s="9"/>
      <c r="AZ20" s="9"/>
      <c r="BB20" s="9"/>
      <c r="BD20" s="9"/>
      <c r="BE20" s="9"/>
      <c r="BG20" s="9"/>
      <c r="BI20" s="9"/>
      <c r="BJ20" s="9"/>
      <c r="BN20" s="9"/>
      <c r="BO20" s="9"/>
      <c r="BR20" s="9"/>
      <c r="BU20" s="9"/>
      <c r="BZ20" s="9"/>
    </row>
    <row r="21" spans="1:78" ht="12.75">
      <c r="A21" t="s">
        <v>18</v>
      </c>
      <c r="B21" s="26">
        <f>AVERAGE(4.8,5,4.8)*$B$4/100</f>
        <v>1.2166666666666668</v>
      </c>
      <c r="C21" s="26">
        <f>AVERAGE(3.8,3.7,3.8)*$B$4/100</f>
        <v>0.9416666666666668</v>
      </c>
      <c r="D21" s="26">
        <f>AVERAGE(4,4,4.1)*$B$4/100</f>
        <v>1.0083333333333333</v>
      </c>
      <c r="E21" s="12">
        <f>AVERAGE(6.9,7.4,7.1)*$B$4/100</f>
        <v>1.7833333333333332</v>
      </c>
      <c r="F21" s="26">
        <f>AVERAGE(3.2,3.4,3.2)*$B$4/100</f>
        <v>0.8166666666666668</v>
      </c>
      <c r="G21" s="26">
        <f>AVERAGE(4.4,4.2,4.2)*$B$4/100</f>
        <v>1.0666666666666667</v>
      </c>
      <c r="H21" s="26">
        <f>AVERAGE(5.2,5.3)*$B$4/100</f>
        <v>1.3125</v>
      </c>
      <c r="I21" s="26">
        <f>AVERAGE(3.4,3.4,3.4)*$B$4/100</f>
        <v>0.85</v>
      </c>
      <c r="J21" s="26">
        <f>AVERAGE(2.4,2.4,2.4)*$B$4/100</f>
        <v>0.6</v>
      </c>
      <c r="K21" s="12">
        <f>AVERAGE(3,3.3,3)*$B$4/100</f>
        <v>0.775</v>
      </c>
      <c r="L21" s="26">
        <f>AVERAGE(2.9,2.9,3)*$B$4/100</f>
        <v>0.7333333333333334</v>
      </c>
      <c r="M21" s="12">
        <f>AVERAGE(3.7,3.5,3.6)*$B$4/100</f>
        <v>0.9</v>
      </c>
      <c r="N21" s="26">
        <f>AVERAGE(2.8,3,2.9)*$B$4/100</f>
        <v>0.725</v>
      </c>
      <c r="O21" s="26">
        <f>AVERAGE(2.2,2.2,2.3)*$B$4/100</f>
        <v>0.5583333333333333</v>
      </c>
      <c r="P21" s="26"/>
      <c r="Q21" s="12">
        <f>AVERAGE(2.6,2.5,2.6)*$B$4/100</f>
        <v>0.6416666666666666</v>
      </c>
      <c r="R21" s="12">
        <f>AVERAGE(2,2.1,2)*$B$4/100</f>
        <v>0.5083333333333333</v>
      </c>
      <c r="S21" s="26">
        <f>AVERAGE(2,2.1)*$B$4/100</f>
        <v>0.5125</v>
      </c>
      <c r="T21" s="26">
        <f>AVERAGE(2.5)*$B$4/100</f>
        <v>0.625</v>
      </c>
      <c r="U21" s="26">
        <f>AVERAGE(2.8,2.9,2.7)*$B$4/100</f>
        <v>0.6999999999999998</v>
      </c>
      <c r="V21" s="26">
        <f>AVERAGE(1)*$B$4/100</f>
        <v>0.25</v>
      </c>
      <c r="W21" s="39">
        <f>AVERAGE(4,3.9,4)*$B$4/100</f>
        <v>0.9916666666666667</v>
      </c>
      <c r="X21" s="26">
        <f>AVERAGE(2.5)*$B$4/100</f>
        <v>0.625</v>
      </c>
      <c r="Y21" s="26">
        <f>AVERAGE(2.2,2.1,2.2,2.3,2.3)*$B$4/100</f>
        <v>0.555</v>
      </c>
      <c r="Z21" s="26">
        <f>AVERAGE(4.6,5,4.8)*$B$4/100</f>
        <v>1.2</v>
      </c>
      <c r="AA21" s="26"/>
      <c r="AB21" s="26">
        <f>AVERAGE(1.4,1.3,1.3)*$B$4/100</f>
        <v>0.33333333333333326</v>
      </c>
      <c r="AC21" s="26">
        <f>AVERAGE(3)*$B$4/100</f>
        <v>0.75</v>
      </c>
      <c r="AD21" s="26">
        <f>AVERAGE(2.9)*$B$4/100</f>
        <v>0.725</v>
      </c>
      <c r="AE21" s="26">
        <f>AVERAGE(7.4,7.2,7.4)*$B$4/100</f>
        <v>1.833333333333333</v>
      </c>
      <c r="AF21" s="26">
        <f>AVERAGE(3.5)*$B$4/100</f>
        <v>0.875</v>
      </c>
      <c r="AG21" s="26">
        <f>AVERAGE(3.7)*$B$4/100</f>
        <v>0.925</v>
      </c>
      <c r="AH21" s="26">
        <f>AVERAGE(3,2.9,3)*$B$4/100</f>
        <v>0.7416666666666667</v>
      </c>
      <c r="AI21" s="9"/>
      <c r="AJ21" s="9"/>
      <c r="AK21" s="12">
        <f>AVERAGE(3.9,4,4)*$B$4/100</f>
        <v>0.9916666666666667</v>
      </c>
      <c r="AL21" s="26">
        <f>AVERAGE(5.3,5.4,5.2)*$B$4/100</f>
        <v>1.325</v>
      </c>
      <c r="AM21" s="38">
        <f>AVERAGE(5.8,5.7,5.8)*$B$4/100</f>
        <v>1.4416666666666667</v>
      </c>
      <c r="AN21" s="26">
        <f>AVERAGE(2,2,2.1)*$B$4/100</f>
        <v>0.5083333333333333</v>
      </c>
      <c r="AO21" s="26">
        <f>AVERAGE(2.2,2.2,2.3)*$B$4/100</f>
        <v>0.5583333333333333</v>
      </c>
      <c r="AP21" s="26">
        <f>AVERAGE(6.2,6)*$B$4/100</f>
        <v>1.525</v>
      </c>
      <c r="AQ21" s="26">
        <f>AVERAGE(6.8,6.8,7)*$B$4/100</f>
        <v>1.7166666666666668</v>
      </c>
      <c r="AR21" s="26">
        <f>AVERAGE(2,2,2.1)*$B$4/100</f>
        <v>0.5083333333333333</v>
      </c>
      <c r="AS21" s="9"/>
      <c r="AT21" s="9"/>
      <c r="AU21" s="9"/>
      <c r="AX21" s="9"/>
      <c r="AY21" s="9"/>
      <c r="AZ21" s="9"/>
      <c r="BB21" s="9"/>
      <c r="BD21" s="9"/>
      <c r="BE21" s="9"/>
      <c r="BG21" s="9"/>
      <c r="BI21" s="9"/>
      <c r="BJ21" s="9"/>
      <c r="BN21" s="9"/>
      <c r="BO21" s="9"/>
      <c r="BR21" s="9"/>
      <c r="BU21" s="9"/>
      <c r="BZ21" s="9"/>
    </row>
    <row r="22" spans="1:78" ht="12.75">
      <c r="A22" t="s">
        <v>19</v>
      </c>
      <c r="B22" s="15">
        <f>AVERAGE(1.7,1.7,1.5)*$B$5/100</f>
        <v>0.16333333333333336</v>
      </c>
      <c r="C22" s="15">
        <f>AVERAGE(0.7,0.8,0.7)*$B$5/100</f>
        <v>0.07333333333333333</v>
      </c>
      <c r="D22" s="15">
        <f>AVERAGE(0.9)*$B$5/100</f>
        <v>0.09</v>
      </c>
      <c r="E22">
        <f>AVERAGE(0.9,0.8,1)*$B$5/100</f>
        <v>0.09</v>
      </c>
      <c r="F22" s="15">
        <f>AVERAGE(1.1,1.2,1.2)*$B$5/100</f>
        <v>0.11666666666666668</v>
      </c>
      <c r="G22" s="15">
        <f>AVERAGE(1.1)*$B$5/100</f>
        <v>0.11</v>
      </c>
      <c r="H22" s="15">
        <f>AVERAGE(2.5,2.4,2.6)*$B$5/100</f>
        <v>0.25</v>
      </c>
      <c r="I22" s="15">
        <f>AVERAGE(0.9,1,1)*$B$5/100</f>
        <v>0.09666666666666666</v>
      </c>
      <c r="J22" s="15">
        <f>AVERAGE(1.2,1,1)*$B$5/100</f>
        <v>0.10666666666666666</v>
      </c>
      <c r="K22" s="9">
        <f>AVERAGE(0.5,0.5,0.6)*$B$5/100</f>
        <v>0.05333333333333333</v>
      </c>
      <c r="L22" s="15">
        <f>AVERAGE(1,1.1,1.2)*$B$5/100</f>
        <v>0.10999999999999999</v>
      </c>
      <c r="M22" s="9">
        <f>AVERAGE(0.8,0.55,0.9,0.8,0.75)*$B$5/100</f>
        <v>0.076</v>
      </c>
      <c r="N22" s="15">
        <f>AVERAGE(1.4,1.3,1.2)*$B$5/100</f>
        <v>0.13</v>
      </c>
      <c r="O22" s="15">
        <f>AVERAGE(8.5,7.5,8)*$B$5/100</f>
        <v>0.8</v>
      </c>
      <c r="P22" s="15"/>
      <c r="Q22" s="9">
        <f>AVERAGE(0.8,0.75,0.85)*$B$5/100</f>
        <v>0.07999999999999999</v>
      </c>
      <c r="R22" s="9">
        <f>AVERAGE(0.2,0.2,0.2)*$B$5/100</f>
        <v>0.020000000000000004</v>
      </c>
      <c r="S22" s="15">
        <f>AVERAGE(1.2,1.2,1.1)*$B$5/100</f>
        <v>0.11666666666666668</v>
      </c>
      <c r="T22" s="15">
        <f>AVERAGE(0.9,1,1)*$B$5/100</f>
        <v>0.09666666666666666</v>
      </c>
      <c r="U22" s="15">
        <f>AVERAGE(1.6,1.5,1.2)*$B$5/100</f>
        <v>0.14333333333333334</v>
      </c>
      <c r="V22" s="15">
        <f>AVERAGE(0.7,0.8,0.9)*$B$5/100</f>
        <v>0.07999999999999999</v>
      </c>
      <c r="W22" s="15">
        <f>AVERAGE(0.4,0.6,0.6)*$B$5/100</f>
        <v>0.05333333333333333</v>
      </c>
      <c r="X22" s="15">
        <f>AVERAGE(0.6,0.8,0.7)*$B$5/100</f>
        <v>0.06999999999999998</v>
      </c>
      <c r="Y22" s="15">
        <f>AVERAGE(1.3)*$B$5/100</f>
        <v>0.13</v>
      </c>
      <c r="Z22" s="15"/>
      <c r="AA22" s="15"/>
      <c r="AB22" s="15">
        <f>AVERAGE(1)*$B$5/100</f>
        <v>0.1</v>
      </c>
      <c r="AC22" s="15">
        <f>AVERAGE(1.15,1.1,1.1)*$B$5/100</f>
        <v>0.11166666666666668</v>
      </c>
      <c r="AD22" s="15">
        <f>AVERAGE(0.9,1.1,1)*$B$5/100</f>
        <v>0.1</v>
      </c>
      <c r="AE22" s="15">
        <f>AVERAGE(1.2,1.1,1.7)*$B$5/100</f>
        <v>0.13333333333333333</v>
      </c>
      <c r="AF22" s="15">
        <f>AVERAGE(1.2,1.2,1.1)*$B$5/100</f>
        <v>0.11666666666666668</v>
      </c>
      <c r="AG22" s="15"/>
      <c r="AH22" s="15">
        <f>AVERAGE(0.2,0.2,0.2)*$B$5/100</f>
        <v>0.020000000000000004</v>
      </c>
      <c r="AI22" s="9"/>
      <c r="AK22" s="9">
        <f>AVERAGE(0.8,0.8,0.8)*$B$5/100</f>
        <v>0.08000000000000002</v>
      </c>
      <c r="AL22" s="15">
        <f>AVERAGE(2.4,2.5,2.3)*$B$5/100</f>
        <v>0.24</v>
      </c>
      <c r="AM22" s="9">
        <f>AVERAGE(1,1,1)*$B$5/100</f>
        <v>0.1</v>
      </c>
      <c r="AN22" s="15">
        <f>AVERAGE(1,1.1,0.8)*$B$5/100</f>
        <v>0.09666666666666668</v>
      </c>
      <c r="AO22" s="15">
        <f>AVERAGE(8.5,7.5,8)*$B$5/100</f>
        <v>0.8</v>
      </c>
      <c r="AP22" s="15">
        <f>AVERAGE(1.3,1.2,1.3)*$B$5/100</f>
        <v>0.12666666666666665</v>
      </c>
      <c r="AQ22" s="15">
        <f>AVERAGE(2,1.8,2)*$B$5/100</f>
        <v>0.19333333333333333</v>
      </c>
      <c r="AR22" s="15">
        <f>AVERAGE(1.2,1.2,1.1)*$B$5/100</f>
        <v>0.11666666666666668</v>
      </c>
      <c r="AS22" s="9"/>
      <c r="AT22" s="9"/>
      <c r="AU22" s="9"/>
      <c r="AX22" s="9"/>
      <c r="AY22" s="9"/>
      <c r="AZ22" s="9"/>
      <c r="BB22" s="9"/>
      <c r="BD22" s="9"/>
      <c r="BE22" s="9"/>
      <c r="BG22" s="10"/>
      <c r="BI22" s="10"/>
      <c r="BJ22" s="9"/>
      <c r="BN22" s="9"/>
      <c r="BO22" s="9"/>
      <c r="BR22" s="10"/>
      <c r="BU22" s="9"/>
      <c r="BZ22" s="10"/>
    </row>
    <row r="23" spans="1:44" ht="14.25">
      <c r="A23" t="s">
        <v>25</v>
      </c>
      <c r="B23" s="33">
        <v>0</v>
      </c>
      <c r="C23" s="33"/>
      <c r="D23" s="33" t="s">
        <v>375</v>
      </c>
      <c r="E23" s="8">
        <v>0</v>
      </c>
      <c r="F23" s="33">
        <v>40</v>
      </c>
      <c r="G23" s="33" t="s">
        <v>379</v>
      </c>
      <c r="H23" s="33"/>
      <c r="I23" s="33" t="s">
        <v>375</v>
      </c>
      <c r="J23" s="33">
        <f>5*1.5/3.5</f>
        <v>2.142857142857143</v>
      </c>
      <c r="K23" s="8">
        <v>0</v>
      </c>
      <c r="L23" s="33">
        <f>5*1.5/5</f>
        <v>1.5</v>
      </c>
      <c r="M23" s="8">
        <v>0</v>
      </c>
      <c r="N23" s="33">
        <v>0</v>
      </c>
      <c r="O23" s="33">
        <v>2</v>
      </c>
      <c r="P23" s="33">
        <v>0</v>
      </c>
      <c r="Q23" s="8">
        <v>0</v>
      </c>
      <c r="R23" s="33" t="s">
        <v>375</v>
      </c>
      <c r="S23" s="33">
        <f>5*1.5/3</f>
        <v>2.5</v>
      </c>
      <c r="T23" s="33" t="s">
        <v>379</v>
      </c>
      <c r="U23" s="33">
        <v>0</v>
      </c>
      <c r="V23" s="33">
        <v>2</v>
      </c>
      <c r="W23" s="33">
        <v>2</v>
      </c>
      <c r="X23" s="33"/>
      <c r="Y23" s="33">
        <v>0</v>
      </c>
      <c r="Z23" s="33"/>
      <c r="AA23" s="33">
        <f>5*1.5/3.5</f>
        <v>2.142857142857143</v>
      </c>
      <c r="AB23" s="33">
        <v>2</v>
      </c>
      <c r="AC23" s="33">
        <f>5*1.5/3</f>
        <v>2.5</v>
      </c>
      <c r="AD23" s="33">
        <f>5*1/4</f>
        <v>1.25</v>
      </c>
      <c r="AE23" s="33"/>
      <c r="AF23" s="33">
        <f>5/3</f>
        <v>1.6666666666666667</v>
      </c>
      <c r="AG23" s="33">
        <f>5/4</f>
        <v>1.25</v>
      </c>
      <c r="AH23" s="33" t="s">
        <v>375</v>
      </c>
      <c r="AJ23" s="33">
        <f>5*3/3.5</f>
        <v>4.285714285714286</v>
      </c>
      <c r="AK23" s="33" t="s">
        <v>375</v>
      </c>
      <c r="AL23" s="33"/>
      <c r="AM23" s="33" t="s">
        <v>375</v>
      </c>
      <c r="AN23" s="33">
        <v>0</v>
      </c>
      <c r="AO23" s="33">
        <f>5*1/2.5</f>
        <v>2</v>
      </c>
      <c r="AP23" s="33">
        <f>5*49/52</f>
        <v>4.711538461538462</v>
      </c>
      <c r="AQ23" s="33"/>
      <c r="AR23" s="33">
        <f>5*1.5/3</f>
        <v>2.5</v>
      </c>
    </row>
    <row r="24" spans="1:78" ht="15.75">
      <c r="A24" t="s">
        <v>36</v>
      </c>
      <c r="B24" s="25">
        <f>AVERAGE(6,6.3,6.2)*$B$6/100/4*1000</f>
        <v>385.41666666666674</v>
      </c>
      <c r="C24" s="25">
        <f>AVERAGE(5.2,5.4,5.7,5.2)*$B$6/100/4*1000</f>
        <v>335.9375</v>
      </c>
      <c r="D24" s="25">
        <f>AVERAGE(6,8,6.9,6.9)*$B$6/100/4*1000</f>
        <v>434.37499999999994</v>
      </c>
      <c r="E24" s="8">
        <f>AVERAGE(3.6,3.7,3.6)*$B$6/100/4*1000</f>
        <v>227.08333333333334</v>
      </c>
      <c r="F24" s="25">
        <f>AVERAGE(2,2,2.1)*$B$6/100/4*1000</f>
        <v>127.08333333333333</v>
      </c>
      <c r="G24" s="25">
        <f>AVERAGE(5,5.1)*$B$6/100/4*1000</f>
        <v>315.625</v>
      </c>
      <c r="H24" s="25">
        <f>AVERAGE(5.6,5.5,5.5)*$B$6/100/4*1000</f>
        <v>345.83333333333337</v>
      </c>
      <c r="I24" s="25">
        <f>AVERAGE(5)*$B$6/100/4*1000</f>
        <v>312.5</v>
      </c>
      <c r="J24" s="25">
        <f>AVERAGE(3)*$B$6/100/4*1000</f>
        <v>187.5</v>
      </c>
      <c r="K24" s="8">
        <f>AVERAGE(3.7,3.4,3.5)*$B$6/100/4*1000</f>
        <v>220.83333333333331</v>
      </c>
      <c r="L24" s="25">
        <f>AVERAGE(5)*$B$6/100/4*1000</f>
        <v>312.5</v>
      </c>
      <c r="M24" s="8">
        <f>AVERAGE(4.85,4.95,4.95)*$B$6/100/4*1000</f>
        <v>307.2916666666667</v>
      </c>
      <c r="N24" s="25">
        <f>AVERAGE(6.2,6.3,5.4)*$B$6/100/4*1000</f>
        <v>372.91666666666663</v>
      </c>
      <c r="O24" s="25">
        <f>AVERAGE(5.4,3.8,3.6)*$B$6/100/4*1000</f>
        <v>266.6666666666667</v>
      </c>
      <c r="P24" s="25"/>
      <c r="Q24" s="8">
        <f>AVERAGE(4.4,4.5,4.45)*$B$6/100/4*1000</f>
        <v>278.125</v>
      </c>
      <c r="R24" s="8">
        <f>AVERAGE(4.2,4.2,4.2)*$B$6/100/4*1000</f>
        <v>262.5</v>
      </c>
      <c r="S24" s="25">
        <f>AVERAGE(6,5.8,5.8)*$B$6/100/4*1000</f>
        <v>366.6666666666667</v>
      </c>
      <c r="T24" s="25">
        <f>AVERAGE(4.1,4.2,4.2)*$B$6/100/4*1000</f>
        <v>260.4166666666667</v>
      </c>
      <c r="U24" s="25">
        <f>AVERAGE(3.9,4.4)*$B$6/100/4*1000</f>
        <v>259.375</v>
      </c>
      <c r="V24" s="25">
        <f>AVERAGE(5.1)*$B$6/100/4*1000</f>
        <v>318.75</v>
      </c>
      <c r="W24" s="25">
        <f>AVERAGE(4.8)*$B$6/100/4*1000</f>
        <v>300</v>
      </c>
      <c r="X24" s="25">
        <f>AVERAGE(4.1,4.3,4.2)*$B$6/100/4*1000</f>
        <v>262.49999999999994</v>
      </c>
      <c r="Y24" s="25">
        <f>AVERAGE(5,4.8,4.9)*$B$6/100/4*1000</f>
        <v>306.25</v>
      </c>
      <c r="Z24" s="25">
        <f>AVERAGE(1.4)*$B$6/100/4*1000</f>
        <v>87.5</v>
      </c>
      <c r="AA24" s="25">
        <f>AVERAGE(1.6)*$B$6/100/4*1000</f>
        <v>100</v>
      </c>
      <c r="AB24" s="25">
        <f>AVERAGE(4.3,4.3,4.4)*$B$6/100/4*1000</f>
        <v>270.8333333333333</v>
      </c>
      <c r="AC24" s="25">
        <f>AVERAGE(3)*$B$6/100/4*1000</f>
        <v>187.5</v>
      </c>
      <c r="AD24" s="25">
        <f>AVERAGE(4.3)*$B$6/100/4*1000</f>
        <v>268.75</v>
      </c>
      <c r="AE24" s="25">
        <f>AVERAGE(1.2,1.1,1.2)*$B$6/100/4*1000</f>
        <v>72.91666666666667</v>
      </c>
      <c r="AF24" s="25">
        <f>AVERAGE(4)*$B$6/100/4*1000</f>
        <v>250</v>
      </c>
      <c r="AG24" s="25">
        <f>AVERAGE(3.7)*$B$6/100/4*1000</f>
        <v>231.25</v>
      </c>
      <c r="AH24" s="25">
        <f>AVERAGE(5.8,5.7,5.7)*$B$6/100/4*1000</f>
        <v>358.3333333333333</v>
      </c>
      <c r="AI24" s="25">
        <f>AVERAGE(0.5)*$B$6/100/4*1000</f>
        <v>31.25</v>
      </c>
      <c r="AJ24" s="25">
        <f>AVERAGE(2)*$B$6/100/4*1000</f>
        <v>125</v>
      </c>
      <c r="AK24" s="8">
        <f>AVERAGE(4,4,4)*$B$6/100/4*1000</f>
        <v>250</v>
      </c>
      <c r="AL24" s="25">
        <f>AVERAGE(5.4)*$B$6/100/4*1000</f>
        <v>337.5</v>
      </c>
      <c r="AM24" s="8">
        <f>AVERAGE(5,5.1,5)*$B$6/100/4*1000</f>
        <v>314.5833333333333</v>
      </c>
      <c r="AN24" s="25">
        <f>AVERAGE(5.5,5.7,5.5)*$B$6/100/4*1000</f>
        <v>347.91666666666663</v>
      </c>
      <c r="AO24" s="25">
        <f>AVERAGE(3.4,3.8,3.6)*$B$6/100/4*1000</f>
        <v>224.99999999999997</v>
      </c>
      <c r="AP24" s="25">
        <f>AVERAGE(3,2.5,2.6)*$B$6/100/4*1000</f>
        <v>168.75</v>
      </c>
      <c r="AQ24" s="25">
        <f>AVERAGE(2.2,2,2.2)*$B$6/100/4*1000</f>
        <v>133.33333333333334</v>
      </c>
      <c r="AR24" s="25">
        <f>AVERAGE(6,5.8,5.8)*$B$6/100/4*1000</f>
        <v>366.6666666666667</v>
      </c>
      <c r="AX24" s="8"/>
      <c r="AY24" s="8"/>
      <c r="AZ24" s="8"/>
      <c r="BB24" s="8"/>
      <c r="BD24" s="8"/>
      <c r="BE24" s="8"/>
      <c r="BG24" s="8"/>
      <c r="BI24" s="8"/>
      <c r="BJ24" s="8"/>
      <c r="BN24" s="8"/>
      <c r="BO24" s="8"/>
      <c r="BR24" s="8"/>
      <c r="BU24" s="8"/>
      <c r="BZ24" s="8"/>
    </row>
    <row r="25" spans="2:44" ht="12.75">
      <c r="B25" s="17"/>
      <c r="C25" s="17"/>
      <c r="D25" s="17"/>
      <c r="F25" s="17"/>
      <c r="G25" s="17"/>
      <c r="H25" s="17"/>
      <c r="I25" s="17"/>
      <c r="J25" s="17"/>
      <c r="L25" s="17"/>
      <c r="N25" s="17"/>
      <c r="O25" s="17"/>
      <c r="P25" s="17"/>
      <c r="S25" s="17"/>
      <c r="T25" s="17"/>
      <c r="U25" s="17"/>
      <c r="V25" s="17"/>
      <c r="W25" s="17"/>
      <c r="X25" s="17"/>
      <c r="Y25" s="17"/>
      <c r="Z25" s="17"/>
      <c r="AB25" s="17"/>
      <c r="AC25" s="17"/>
      <c r="AD25" s="17"/>
      <c r="AE25" s="17"/>
      <c r="AF25" s="17"/>
      <c r="AG25" s="17"/>
      <c r="AH25" s="17"/>
      <c r="AI25" s="19"/>
      <c r="AL25" s="17"/>
      <c r="AN25" s="17"/>
      <c r="AO25" s="17"/>
      <c r="AP25" s="17"/>
      <c r="AQ25" s="17"/>
      <c r="AR25" s="17"/>
    </row>
    <row r="26" spans="2:51" ht="12.75">
      <c r="B26" s="17"/>
      <c r="C26" s="17"/>
      <c r="D26" s="17"/>
      <c r="F26" s="17"/>
      <c r="G26" s="17"/>
      <c r="H26" s="17"/>
      <c r="I26" s="17"/>
      <c r="J26" s="17"/>
      <c r="L26" s="17"/>
      <c r="N26" s="17"/>
      <c r="O26" s="17"/>
      <c r="P26" s="17"/>
      <c r="S26" s="17"/>
      <c r="T26" s="17"/>
      <c r="U26" s="17"/>
      <c r="V26" s="17"/>
      <c r="W26" s="17"/>
      <c r="X26" s="17"/>
      <c r="Y26" s="17"/>
      <c r="Z26" s="17"/>
      <c r="AB26" s="17"/>
      <c r="AC26" s="17"/>
      <c r="AD26" s="17"/>
      <c r="AE26" s="17"/>
      <c r="AF26" s="17"/>
      <c r="AG26" s="17"/>
      <c r="AH26" s="17"/>
      <c r="AL26" s="17"/>
      <c r="AN26" s="17"/>
      <c r="AO26" s="17"/>
      <c r="AP26" s="17"/>
      <c r="AQ26" s="17"/>
      <c r="AR26" s="17"/>
      <c r="AY26" s="11"/>
    </row>
    <row r="27" spans="1:47" ht="12.75">
      <c r="A27" t="s">
        <v>20</v>
      </c>
      <c r="B27" s="19">
        <f aca="true" t="shared" si="0" ref="B27:AR27">B19/B20</f>
        <v>1.7207207207207207</v>
      </c>
      <c r="C27" s="19">
        <f t="shared" si="0"/>
        <v>1.93006993006993</v>
      </c>
      <c r="D27" s="19">
        <f t="shared" si="0"/>
        <v>2</v>
      </c>
      <c r="E27" s="19">
        <f t="shared" si="0"/>
        <v>2.11890756302521</v>
      </c>
      <c r="F27" s="19">
        <f t="shared" si="0"/>
        <v>1.9240506329113924</v>
      </c>
      <c r="G27" s="19">
        <f t="shared" si="0"/>
        <v>2.0333333333333328</v>
      </c>
      <c r="H27" s="19">
        <f t="shared" si="0"/>
        <v>2.287081339712919</v>
      </c>
      <c r="I27" s="19">
        <f t="shared" si="0"/>
        <v>2</v>
      </c>
      <c r="J27" s="19">
        <f t="shared" si="0"/>
        <v>1.9607843137254906</v>
      </c>
      <c r="K27" s="19">
        <f t="shared" si="0"/>
        <v>1.875</v>
      </c>
      <c r="L27" s="19">
        <f t="shared" si="0"/>
        <v>2.512396694214875</v>
      </c>
      <c r="M27" s="19">
        <f t="shared" si="0"/>
        <v>2.407079646017699</v>
      </c>
      <c r="N27" s="19">
        <f t="shared" si="0"/>
        <v>2.762589928057554</v>
      </c>
      <c r="O27" s="19">
        <f t="shared" si="0"/>
        <v>1.272727272727273</v>
      </c>
      <c r="P27" s="19"/>
      <c r="Q27" s="19">
        <f t="shared" si="0"/>
        <v>2.759259259259258</v>
      </c>
      <c r="R27" s="19">
        <f t="shared" si="0"/>
        <v>1.0602409638554215</v>
      </c>
      <c r="S27" s="19">
        <f t="shared" si="0"/>
        <v>1.4098360655737705</v>
      </c>
      <c r="T27" s="19">
        <f t="shared" si="0"/>
        <v>1.913978494623656</v>
      </c>
      <c r="U27" s="19">
        <f t="shared" si="0"/>
        <v>2.91304347826087</v>
      </c>
      <c r="V27" s="19">
        <f t="shared" si="0"/>
        <v>2.4347826086956523</v>
      </c>
      <c r="W27" s="19">
        <f t="shared" si="0"/>
        <v>0.625</v>
      </c>
      <c r="X27" s="19">
        <f t="shared" si="0"/>
        <v>2.0961538461538463</v>
      </c>
      <c r="Y27" s="19">
        <f t="shared" si="0"/>
        <v>2.48936170212766</v>
      </c>
      <c r="Z27" s="19">
        <f t="shared" si="0"/>
        <v>3.266666666666667</v>
      </c>
      <c r="AA27" s="19">
        <f t="shared" si="0"/>
        <v>2.1058823529411757</v>
      </c>
      <c r="AB27" s="19">
        <f t="shared" si="0"/>
        <v>2.0625</v>
      </c>
      <c r="AC27" s="19">
        <f t="shared" si="0"/>
        <v>2.018691588785047</v>
      </c>
      <c r="AD27" s="19">
        <f t="shared" si="0"/>
        <v>2.0825688073394497</v>
      </c>
      <c r="AE27" s="19">
        <f t="shared" si="0"/>
        <v>1.852691218130312</v>
      </c>
      <c r="AF27" s="19">
        <f t="shared" si="0"/>
        <v>2.0959999999999996</v>
      </c>
      <c r="AG27" s="19">
        <f t="shared" si="0"/>
        <v>2.0357142857142856</v>
      </c>
      <c r="AH27" s="19">
        <f t="shared" si="0"/>
        <v>1.75</v>
      </c>
      <c r="AI27" s="19" t="e">
        <f t="shared" si="0"/>
        <v>#DIV/0!</v>
      </c>
      <c r="AJ27" s="19" t="e">
        <f t="shared" si="0"/>
        <v>#DIV/0!</v>
      </c>
      <c r="AK27" s="19">
        <f t="shared" si="0"/>
        <v>1.4693877551020407</v>
      </c>
      <c r="AL27" s="19">
        <f t="shared" si="0"/>
        <v>1.935483870967742</v>
      </c>
      <c r="AM27" s="19">
        <f t="shared" si="0"/>
        <v>0.776470588235294</v>
      </c>
      <c r="AN27" s="19">
        <f t="shared" si="0"/>
        <v>2.3863636363636362</v>
      </c>
      <c r="AO27" s="19">
        <f t="shared" si="0"/>
        <v>1.2727272727272727</v>
      </c>
      <c r="AP27" s="19">
        <f t="shared" si="0"/>
        <v>1.9669421487603302</v>
      </c>
      <c r="AQ27" s="19">
        <f t="shared" si="0"/>
        <v>2</v>
      </c>
      <c r="AR27" s="19">
        <f t="shared" si="0"/>
        <v>1.4098360655737705</v>
      </c>
      <c r="AS27" s="19"/>
      <c r="AT27" s="19"/>
      <c r="AU27" s="19"/>
    </row>
    <row r="31" ht="12.75">
      <c r="I31" s="25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193"/>
  <sheetViews>
    <sheetView zoomScale="75" zoomScaleNormal="75" workbookViewId="0" topLeftCell="A4">
      <pane ySplit="1" topLeftCell="BM5" activePane="bottomLeft" state="frozen"/>
      <selection pane="topLeft" activeCell="A4" sqref="A4"/>
      <selection pane="bottomLeft" activeCell="F5" sqref="F5"/>
    </sheetView>
  </sheetViews>
  <sheetFormatPr defaultColWidth="9.00390625" defaultRowHeight="12.75"/>
  <cols>
    <col min="1" max="1" width="9.25390625" style="0" bestFit="1" customWidth="1"/>
    <col min="2" max="2" width="11.625" style="0" bestFit="1" customWidth="1"/>
    <col min="3" max="3" width="9.25390625" style="0" bestFit="1" customWidth="1"/>
    <col min="4" max="5" width="3.625" style="0" customWidth="1"/>
    <col min="6" max="7" width="10.125" style="0" customWidth="1"/>
    <col min="8" max="8" width="6.00390625" style="0" customWidth="1"/>
    <col min="9" max="9" width="6.625" style="14" customWidth="1"/>
    <col min="10" max="10" width="5.375" style="0" customWidth="1"/>
    <col min="11" max="11" width="6.625" style="0" customWidth="1"/>
    <col min="12" max="12" width="51.00390625" style="0" customWidth="1"/>
  </cols>
  <sheetData>
    <row r="4" spans="1:13" ht="12.75">
      <c r="A4" t="s">
        <v>0</v>
      </c>
      <c r="B4" t="s">
        <v>1</v>
      </c>
      <c r="C4" s="1" t="s">
        <v>2</v>
      </c>
      <c r="F4" t="s">
        <v>4</v>
      </c>
      <c r="G4" t="s">
        <v>3</v>
      </c>
      <c r="H4" t="s">
        <v>5</v>
      </c>
      <c r="I4" s="14" t="s">
        <v>6</v>
      </c>
      <c r="J4" t="s">
        <v>7</v>
      </c>
      <c r="K4" t="s">
        <v>32</v>
      </c>
      <c r="L4" t="s">
        <v>23</v>
      </c>
      <c r="M4" t="s">
        <v>111</v>
      </c>
    </row>
    <row r="5" spans="1:12" ht="12.75">
      <c r="A5" s="4" t="s">
        <v>30</v>
      </c>
      <c r="B5" s="2">
        <v>39972</v>
      </c>
      <c r="C5" s="1"/>
      <c r="F5">
        <v>6230783</v>
      </c>
      <c r="G5">
        <v>666286</v>
      </c>
      <c r="I5" s="14">
        <v>18</v>
      </c>
      <c r="J5" s="14">
        <v>8.09</v>
      </c>
      <c r="K5" s="14">
        <v>13.2</v>
      </c>
      <c r="L5" t="s">
        <v>31</v>
      </c>
    </row>
    <row r="6" spans="1:12" ht="12.75">
      <c r="A6" s="4" t="s">
        <v>37</v>
      </c>
      <c r="B6" s="2">
        <v>39972</v>
      </c>
      <c r="C6" s="1"/>
      <c r="F6">
        <v>6230840</v>
      </c>
      <c r="G6">
        <v>665840</v>
      </c>
      <c r="I6" s="14">
        <v>116</v>
      </c>
      <c r="J6" s="14">
        <v>8.22</v>
      </c>
      <c r="K6" s="14">
        <v>12.6</v>
      </c>
      <c r="L6" t="s">
        <v>68</v>
      </c>
    </row>
    <row r="7" spans="1:12" ht="12.75">
      <c r="A7" s="4" t="s">
        <v>38</v>
      </c>
      <c r="B7" s="2">
        <v>39972</v>
      </c>
      <c r="C7" s="1"/>
      <c r="F7">
        <v>6230948</v>
      </c>
      <c r="G7">
        <v>665687</v>
      </c>
      <c r="I7" s="14">
        <v>93</v>
      </c>
      <c r="J7" s="14">
        <v>8.68</v>
      </c>
      <c r="K7" s="14">
        <v>13.1</v>
      </c>
      <c r="L7" t="s">
        <v>69</v>
      </c>
    </row>
    <row r="8" spans="1:12" ht="12.75">
      <c r="A8" s="4" t="s">
        <v>39</v>
      </c>
      <c r="B8" s="2">
        <v>39972</v>
      </c>
      <c r="C8" s="1"/>
      <c r="F8">
        <v>6230960</v>
      </c>
      <c r="G8">
        <v>665621</v>
      </c>
      <c r="I8" s="14">
        <v>99</v>
      </c>
      <c r="J8" s="14">
        <v>8.68</v>
      </c>
      <c r="K8" s="14">
        <v>13.4</v>
      </c>
      <c r="L8" t="s">
        <v>70</v>
      </c>
    </row>
    <row r="9" spans="1:12" ht="12.75">
      <c r="A9" s="4" t="s">
        <v>40</v>
      </c>
      <c r="B9" s="2">
        <v>39972</v>
      </c>
      <c r="C9" s="1"/>
      <c r="F9">
        <v>6230846</v>
      </c>
      <c r="G9">
        <v>665503</v>
      </c>
      <c r="I9" s="14">
        <v>166</v>
      </c>
      <c r="J9" s="14">
        <v>7.57</v>
      </c>
      <c r="K9" s="14">
        <v>14</v>
      </c>
      <c r="L9" t="s">
        <v>71</v>
      </c>
    </row>
    <row r="10" spans="1:12" ht="12.75">
      <c r="A10" s="4" t="s">
        <v>41</v>
      </c>
      <c r="B10" s="2">
        <v>39972</v>
      </c>
      <c r="C10" s="1"/>
      <c r="F10">
        <v>6230828</v>
      </c>
      <c r="G10">
        <v>665495</v>
      </c>
      <c r="I10" s="14">
        <v>87</v>
      </c>
      <c r="J10" s="14">
        <v>8.74</v>
      </c>
      <c r="K10" s="14">
        <v>13.2</v>
      </c>
      <c r="L10" t="s">
        <v>96</v>
      </c>
    </row>
    <row r="11" spans="1:12" ht="12.75">
      <c r="A11" s="4" t="s">
        <v>42</v>
      </c>
      <c r="B11" s="2">
        <v>39972</v>
      </c>
      <c r="C11" s="1"/>
      <c r="F11">
        <v>6230711</v>
      </c>
      <c r="G11">
        <v>665123</v>
      </c>
      <c r="I11" s="14">
        <v>133</v>
      </c>
      <c r="J11" s="14">
        <v>8.88</v>
      </c>
      <c r="K11" s="14">
        <v>11.6</v>
      </c>
      <c r="L11" t="s">
        <v>72</v>
      </c>
    </row>
    <row r="12" spans="1:12" ht="12.75">
      <c r="A12" s="4" t="s">
        <v>43</v>
      </c>
      <c r="B12" s="2">
        <v>39972</v>
      </c>
      <c r="C12" s="1"/>
      <c r="F12">
        <v>6231049</v>
      </c>
      <c r="G12">
        <v>664767</v>
      </c>
      <c r="I12" s="14">
        <v>14</v>
      </c>
      <c r="J12" s="14">
        <v>8.26</v>
      </c>
      <c r="K12" s="14">
        <v>11.5</v>
      </c>
      <c r="L12" t="s">
        <v>97</v>
      </c>
    </row>
    <row r="13" spans="1:12" ht="12.75">
      <c r="A13" s="4" t="s">
        <v>44</v>
      </c>
      <c r="B13" s="2">
        <v>39972</v>
      </c>
      <c r="C13" s="1"/>
      <c r="F13">
        <v>6231268</v>
      </c>
      <c r="G13">
        <v>664572</v>
      </c>
      <c r="I13" s="16">
        <v>10</v>
      </c>
      <c r="J13" s="14">
        <v>8.9</v>
      </c>
      <c r="K13" s="14">
        <v>11.2</v>
      </c>
      <c r="L13" t="s">
        <v>73</v>
      </c>
    </row>
    <row r="14" spans="1:12" ht="12.75">
      <c r="A14" s="4" t="s">
        <v>45</v>
      </c>
      <c r="B14" s="2">
        <v>39972</v>
      </c>
      <c r="C14" s="1"/>
      <c r="F14">
        <v>6231640</v>
      </c>
      <c r="G14">
        <v>664263</v>
      </c>
      <c r="I14" s="16">
        <v>54</v>
      </c>
      <c r="J14" s="14">
        <v>7.2</v>
      </c>
      <c r="K14" s="14">
        <v>10.5</v>
      </c>
      <c r="L14" t="s">
        <v>74</v>
      </c>
    </row>
    <row r="15" spans="1:12" ht="12.75">
      <c r="A15" s="4" t="s">
        <v>46</v>
      </c>
      <c r="B15" s="2">
        <v>39972</v>
      </c>
      <c r="C15" s="1"/>
      <c r="F15">
        <v>6231891</v>
      </c>
      <c r="G15">
        <v>664043</v>
      </c>
      <c r="I15" s="14">
        <v>50</v>
      </c>
      <c r="J15" s="14">
        <v>6.77</v>
      </c>
      <c r="K15" s="14">
        <v>10.7</v>
      </c>
      <c r="L15" t="s">
        <v>74</v>
      </c>
    </row>
    <row r="16" spans="1:12" ht="12.75">
      <c r="A16" s="4" t="s">
        <v>47</v>
      </c>
      <c r="B16" s="2">
        <v>39972</v>
      </c>
      <c r="C16" s="1"/>
      <c r="F16">
        <v>6231673</v>
      </c>
      <c r="G16">
        <v>663739</v>
      </c>
      <c r="I16" s="14">
        <v>39</v>
      </c>
      <c r="J16" s="14">
        <v>4.34</v>
      </c>
      <c r="K16" s="14">
        <v>10.3</v>
      </c>
      <c r="L16" t="s">
        <v>75</v>
      </c>
    </row>
    <row r="17" spans="1:12" ht="12.75">
      <c r="A17" s="4" t="s">
        <v>48</v>
      </c>
      <c r="B17" s="2">
        <v>39972</v>
      </c>
      <c r="C17" s="1"/>
      <c r="F17">
        <v>6231013</v>
      </c>
      <c r="G17">
        <v>665899</v>
      </c>
      <c r="I17" s="14">
        <v>80</v>
      </c>
      <c r="J17" s="14">
        <v>7.96</v>
      </c>
      <c r="K17" s="14">
        <v>16.8</v>
      </c>
      <c r="L17" t="s">
        <v>76</v>
      </c>
    </row>
    <row r="18" spans="1:12" ht="12.75">
      <c r="A18" s="4" t="s">
        <v>49</v>
      </c>
      <c r="B18" s="2">
        <v>39972</v>
      </c>
      <c r="C18" s="1"/>
      <c r="F18" s="32" t="s">
        <v>67</v>
      </c>
      <c r="G18">
        <v>665870</v>
      </c>
      <c r="I18" s="14">
        <v>100</v>
      </c>
      <c r="J18" s="14">
        <v>8.18</v>
      </c>
      <c r="K18" s="14">
        <v>15.8</v>
      </c>
      <c r="L18" t="s">
        <v>77</v>
      </c>
    </row>
    <row r="19" spans="1:12" ht="12.75">
      <c r="A19" s="4" t="s">
        <v>50</v>
      </c>
      <c r="B19" s="2">
        <v>39972</v>
      </c>
      <c r="C19" s="1"/>
      <c r="F19">
        <v>6231699</v>
      </c>
      <c r="G19">
        <v>666311</v>
      </c>
      <c r="I19" s="14">
        <v>121</v>
      </c>
      <c r="J19" s="14">
        <v>7.65</v>
      </c>
      <c r="K19" s="14">
        <v>15.1</v>
      </c>
      <c r="L19" t="s">
        <v>82</v>
      </c>
    </row>
    <row r="20" spans="1:12" ht="12.75">
      <c r="A20" s="4" t="s">
        <v>51</v>
      </c>
      <c r="B20" s="2">
        <v>39972</v>
      </c>
      <c r="C20" s="1"/>
      <c r="F20">
        <v>6231819</v>
      </c>
      <c r="G20">
        <v>666478</v>
      </c>
      <c r="I20" s="14">
        <v>113</v>
      </c>
      <c r="J20" s="14">
        <v>8.36</v>
      </c>
      <c r="K20" s="14">
        <v>16.7</v>
      </c>
      <c r="L20" t="s">
        <v>78</v>
      </c>
    </row>
    <row r="21" spans="1:12" ht="12.75">
      <c r="A21" s="4" t="s">
        <v>52</v>
      </c>
      <c r="B21" s="2">
        <v>39972</v>
      </c>
      <c r="C21" s="1"/>
      <c r="F21">
        <v>6231855</v>
      </c>
      <c r="G21">
        <v>666535</v>
      </c>
      <c r="I21" s="14">
        <v>503</v>
      </c>
      <c r="J21" s="14">
        <v>7.03</v>
      </c>
      <c r="K21" s="14">
        <v>13.4</v>
      </c>
      <c r="L21" t="s">
        <v>79</v>
      </c>
    </row>
    <row r="22" spans="1:12" ht="12.75">
      <c r="A22" s="4" t="s">
        <v>53</v>
      </c>
      <c r="B22" s="2">
        <v>39972</v>
      </c>
      <c r="C22" s="1"/>
      <c r="F22">
        <v>6231839</v>
      </c>
      <c r="G22">
        <v>666566</v>
      </c>
      <c r="I22" s="14">
        <v>127</v>
      </c>
      <c r="J22" s="14">
        <v>8.57</v>
      </c>
      <c r="K22" s="14">
        <v>17.8</v>
      </c>
      <c r="L22" t="s">
        <v>80</v>
      </c>
    </row>
    <row r="23" spans="1:12" ht="12.75">
      <c r="A23" s="4" t="s">
        <v>54</v>
      </c>
      <c r="B23" s="2">
        <v>39972</v>
      </c>
      <c r="C23" s="1"/>
      <c r="F23">
        <v>6231834</v>
      </c>
      <c r="G23">
        <v>666732</v>
      </c>
      <c r="I23" s="14">
        <v>279</v>
      </c>
      <c r="J23" s="14">
        <v>8.36</v>
      </c>
      <c r="K23" s="14">
        <v>13.3</v>
      </c>
      <c r="L23" t="s">
        <v>81</v>
      </c>
    </row>
    <row r="24" spans="1:12" ht="12.75">
      <c r="A24" s="4" t="s">
        <v>55</v>
      </c>
      <c r="B24" s="2">
        <v>39972</v>
      </c>
      <c r="C24" s="1"/>
      <c r="F24">
        <v>6231904</v>
      </c>
      <c r="G24">
        <v>666920</v>
      </c>
      <c r="I24" s="14">
        <v>111</v>
      </c>
      <c r="J24" s="14">
        <v>8.64</v>
      </c>
      <c r="K24" s="14">
        <v>18</v>
      </c>
      <c r="L24" t="s">
        <v>83</v>
      </c>
    </row>
    <row r="25" spans="1:12" ht="12.75">
      <c r="A25" s="4" t="s">
        <v>56</v>
      </c>
      <c r="B25" s="2">
        <v>39972</v>
      </c>
      <c r="C25" s="1"/>
      <c r="F25">
        <v>6231992</v>
      </c>
      <c r="G25">
        <v>667158</v>
      </c>
      <c r="I25" s="14">
        <v>75</v>
      </c>
      <c r="J25" s="14">
        <v>9.34</v>
      </c>
      <c r="K25" s="14">
        <v>18.6</v>
      </c>
      <c r="L25" t="s">
        <v>84</v>
      </c>
    </row>
    <row r="26" spans="1:12" ht="12.75">
      <c r="A26" s="4" t="s">
        <v>57</v>
      </c>
      <c r="B26" s="2">
        <v>39972</v>
      </c>
      <c r="C26" s="1"/>
      <c r="F26">
        <v>6232127</v>
      </c>
      <c r="G26">
        <v>667274</v>
      </c>
      <c r="I26" s="14">
        <v>145</v>
      </c>
      <c r="J26" s="14">
        <v>8.8</v>
      </c>
      <c r="K26" s="14">
        <v>17.3</v>
      </c>
      <c r="L26" t="s">
        <v>85</v>
      </c>
    </row>
    <row r="27" spans="1:12" ht="12.75">
      <c r="A27" s="4" t="s">
        <v>57</v>
      </c>
      <c r="B27" s="2">
        <v>39972</v>
      </c>
      <c r="F27">
        <v>6232372</v>
      </c>
      <c r="G27">
        <v>667377</v>
      </c>
      <c r="I27" s="14">
        <v>275</v>
      </c>
      <c r="J27" s="14">
        <v>7.65</v>
      </c>
      <c r="K27" s="14">
        <v>12.5</v>
      </c>
      <c r="L27" t="s">
        <v>86</v>
      </c>
    </row>
    <row r="28" spans="1:12" ht="12.75">
      <c r="A28" s="4" t="s">
        <v>58</v>
      </c>
      <c r="B28" s="2">
        <v>39972</v>
      </c>
      <c r="C28" s="1"/>
      <c r="F28">
        <v>6231404</v>
      </c>
      <c r="G28">
        <v>667501</v>
      </c>
      <c r="I28" s="14">
        <v>115</v>
      </c>
      <c r="J28" s="14">
        <v>8.54</v>
      </c>
      <c r="K28" s="14">
        <v>17.2</v>
      </c>
      <c r="L28" t="s">
        <v>87</v>
      </c>
    </row>
    <row r="29" spans="1:12" ht="12.75">
      <c r="A29" s="4" t="s">
        <v>59</v>
      </c>
      <c r="B29" s="2">
        <v>39972</v>
      </c>
      <c r="C29" s="1"/>
      <c r="F29">
        <v>6232407</v>
      </c>
      <c r="G29">
        <v>667547</v>
      </c>
      <c r="I29" s="14">
        <v>175</v>
      </c>
      <c r="J29" s="14">
        <v>7.66</v>
      </c>
      <c r="K29" s="14">
        <v>11.6</v>
      </c>
      <c r="L29" t="s">
        <v>88</v>
      </c>
    </row>
    <row r="30" spans="1:12" ht="12.75">
      <c r="A30" s="4" t="s">
        <v>60</v>
      </c>
      <c r="B30" s="2">
        <v>39972</v>
      </c>
      <c r="C30" s="1"/>
      <c r="F30" s="20">
        <v>6232405</v>
      </c>
      <c r="G30">
        <v>667571</v>
      </c>
      <c r="I30" s="14">
        <v>108</v>
      </c>
      <c r="J30" s="14">
        <v>8.59</v>
      </c>
      <c r="K30" s="14">
        <v>17.3</v>
      </c>
      <c r="L30" t="s">
        <v>92</v>
      </c>
    </row>
    <row r="31" spans="1:12" ht="12.75">
      <c r="A31" s="4" t="s">
        <v>61</v>
      </c>
      <c r="B31" s="2">
        <v>39972</v>
      </c>
      <c r="C31" s="1"/>
      <c r="F31">
        <v>6232670</v>
      </c>
      <c r="G31">
        <v>667928</v>
      </c>
      <c r="I31" s="14">
        <v>114</v>
      </c>
      <c r="J31" s="14">
        <v>8.66</v>
      </c>
      <c r="K31" s="14">
        <v>18.1</v>
      </c>
      <c r="L31" t="s">
        <v>89</v>
      </c>
    </row>
    <row r="32" spans="1:12" ht="12.75">
      <c r="A32" s="4" t="s">
        <v>62</v>
      </c>
      <c r="B32" s="2">
        <v>39972</v>
      </c>
      <c r="C32" s="1"/>
      <c r="F32">
        <v>6231734</v>
      </c>
      <c r="G32">
        <v>668184</v>
      </c>
      <c r="I32" s="14">
        <v>108</v>
      </c>
      <c r="J32" s="14">
        <v>9.1</v>
      </c>
      <c r="K32" s="14">
        <v>18.2</v>
      </c>
      <c r="L32" t="s">
        <v>90</v>
      </c>
    </row>
    <row r="33" spans="1:12" ht="12.75">
      <c r="A33" s="4" t="s">
        <v>63</v>
      </c>
      <c r="B33" s="2">
        <v>39972</v>
      </c>
      <c r="C33" s="1"/>
      <c r="F33">
        <v>6232767</v>
      </c>
      <c r="G33">
        <v>668484</v>
      </c>
      <c r="I33" s="14">
        <v>238</v>
      </c>
      <c r="J33" s="14">
        <v>7.74</v>
      </c>
      <c r="K33" s="14">
        <v>12.5</v>
      </c>
      <c r="L33" t="s">
        <v>91</v>
      </c>
    </row>
    <row r="34" spans="1:12" ht="12.75">
      <c r="A34" s="4" t="s">
        <v>64</v>
      </c>
      <c r="B34" s="2">
        <v>39972</v>
      </c>
      <c r="C34" s="1"/>
      <c r="F34">
        <v>6232770</v>
      </c>
      <c r="G34">
        <v>668665</v>
      </c>
      <c r="I34" s="14">
        <v>165</v>
      </c>
      <c r="J34" s="14">
        <v>8.33</v>
      </c>
      <c r="K34" s="14">
        <v>16.9</v>
      </c>
      <c r="L34" t="s">
        <v>93</v>
      </c>
    </row>
    <row r="35" spans="1:12" ht="12.75">
      <c r="A35" s="4" t="s">
        <v>65</v>
      </c>
      <c r="B35" s="2">
        <v>39972</v>
      </c>
      <c r="C35" s="1"/>
      <c r="F35">
        <v>6232779</v>
      </c>
      <c r="G35">
        <v>668725</v>
      </c>
      <c r="I35" s="14">
        <v>275</v>
      </c>
      <c r="J35" s="14">
        <v>7.63</v>
      </c>
      <c r="K35" s="14">
        <v>11.9</v>
      </c>
      <c r="L35" t="s">
        <v>94</v>
      </c>
    </row>
    <row r="36" spans="1:12" ht="12.75">
      <c r="A36" s="4" t="s">
        <v>66</v>
      </c>
      <c r="B36" s="2">
        <v>39972</v>
      </c>
      <c r="C36" s="1"/>
      <c r="F36">
        <v>6232828</v>
      </c>
      <c r="G36">
        <v>668822</v>
      </c>
      <c r="I36" s="14">
        <v>184</v>
      </c>
      <c r="J36" s="14">
        <v>7.08</v>
      </c>
      <c r="K36" s="14">
        <v>12.4</v>
      </c>
      <c r="L36" t="s">
        <v>95</v>
      </c>
    </row>
    <row r="37" spans="1:3" ht="12.75">
      <c r="A37" s="5"/>
      <c r="C37" s="1"/>
    </row>
    <row r="38" spans="1:12" ht="12.75">
      <c r="A38" s="4" t="s">
        <v>112</v>
      </c>
      <c r="B38" s="2">
        <v>39973</v>
      </c>
      <c r="C38" s="1"/>
      <c r="F38">
        <v>6227707</v>
      </c>
      <c r="G38">
        <v>660461</v>
      </c>
      <c r="I38" s="14">
        <v>94</v>
      </c>
      <c r="J38" s="14">
        <v>7.24</v>
      </c>
      <c r="K38" s="14">
        <v>13.5</v>
      </c>
      <c r="L38" t="s">
        <v>127</v>
      </c>
    </row>
    <row r="39" spans="1:12" ht="12.75">
      <c r="A39" s="4" t="s">
        <v>113</v>
      </c>
      <c r="B39" s="2">
        <v>39973</v>
      </c>
      <c r="C39" s="1"/>
      <c r="F39">
        <v>6228165</v>
      </c>
      <c r="G39">
        <v>660115</v>
      </c>
      <c r="I39" s="14">
        <v>236</v>
      </c>
      <c r="J39" s="14">
        <v>7.57</v>
      </c>
      <c r="K39" s="14">
        <v>13.6</v>
      </c>
      <c r="L39" t="s">
        <v>128</v>
      </c>
    </row>
    <row r="40" spans="1:12" ht="12.75">
      <c r="A40" s="4" t="s">
        <v>114</v>
      </c>
      <c r="B40" s="2">
        <v>39973</v>
      </c>
      <c r="C40" s="1"/>
      <c r="F40">
        <v>6228346</v>
      </c>
      <c r="G40">
        <v>660080</v>
      </c>
      <c r="I40" s="14">
        <v>253</v>
      </c>
      <c r="J40" s="14">
        <v>7.35</v>
      </c>
      <c r="K40" s="14">
        <v>13.9</v>
      </c>
      <c r="L40" t="s">
        <v>129</v>
      </c>
    </row>
    <row r="41" spans="1:12" ht="12.75">
      <c r="A41" s="4" t="s">
        <v>115</v>
      </c>
      <c r="B41" s="2">
        <v>39973</v>
      </c>
      <c r="F41">
        <v>6228393</v>
      </c>
      <c r="G41">
        <v>660002</v>
      </c>
      <c r="I41" s="14">
        <v>206</v>
      </c>
      <c r="J41" s="14">
        <v>7.22</v>
      </c>
      <c r="K41" s="14">
        <v>18.5</v>
      </c>
      <c r="L41" t="s">
        <v>128</v>
      </c>
    </row>
    <row r="42" spans="1:12" ht="12.75">
      <c r="A42" s="4" t="s">
        <v>116</v>
      </c>
      <c r="B42" s="2">
        <v>39973</v>
      </c>
      <c r="F42">
        <v>6228546</v>
      </c>
      <c r="G42">
        <v>659756</v>
      </c>
      <c r="I42" s="14">
        <v>173</v>
      </c>
      <c r="K42" s="14">
        <v>16</v>
      </c>
      <c r="L42" t="s">
        <v>282</v>
      </c>
    </row>
    <row r="43" spans="1:12" ht="12.75">
      <c r="A43" s="4" t="s">
        <v>117</v>
      </c>
      <c r="B43" s="2">
        <v>39973</v>
      </c>
      <c r="F43">
        <v>6228672</v>
      </c>
      <c r="G43">
        <v>658635</v>
      </c>
      <c r="I43" s="14">
        <v>1</v>
      </c>
      <c r="J43" s="14">
        <v>5.5</v>
      </c>
      <c r="K43" s="14">
        <v>21</v>
      </c>
      <c r="L43" t="s">
        <v>132</v>
      </c>
    </row>
    <row r="44" spans="1:12" ht="12.75">
      <c r="A44" s="4" t="s">
        <v>126</v>
      </c>
      <c r="B44" s="2">
        <v>39973</v>
      </c>
      <c r="F44">
        <v>6228130</v>
      </c>
      <c r="G44">
        <v>657577</v>
      </c>
      <c r="I44" s="14">
        <v>315</v>
      </c>
      <c r="J44" s="14">
        <v>7.1</v>
      </c>
      <c r="K44" s="14">
        <v>10</v>
      </c>
      <c r="L44" t="s">
        <v>281</v>
      </c>
    </row>
    <row r="45" spans="1:12" ht="12.75">
      <c r="A45" s="4" t="s">
        <v>118</v>
      </c>
      <c r="B45" s="2">
        <v>39973</v>
      </c>
      <c r="C45" s="2"/>
      <c r="F45">
        <v>6228097</v>
      </c>
      <c r="G45">
        <v>657581</v>
      </c>
      <c r="I45" s="14">
        <v>314</v>
      </c>
      <c r="J45" s="14">
        <v>7.13</v>
      </c>
      <c r="K45" s="14">
        <v>15.5</v>
      </c>
      <c r="L45" t="s">
        <v>280</v>
      </c>
    </row>
    <row r="46" spans="1:12" ht="12.75">
      <c r="A46" s="4" t="s">
        <v>119</v>
      </c>
      <c r="B46" s="2">
        <v>39973</v>
      </c>
      <c r="F46">
        <v>6227795</v>
      </c>
      <c r="G46">
        <v>657832</v>
      </c>
      <c r="I46" s="14">
        <v>186</v>
      </c>
      <c r="J46" s="14">
        <v>7.82</v>
      </c>
      <c r="K46" s="14">
        <v>16.6</v>
      </c>
      <c r="L46" t="s">
        <v>279</v>
      </c>
    </row>
    <row r="47" spans="1:12" ht="12.75">
      <c r="A47" s="4" t="s">
        <v>120</v>
      </c>
      <c r="B47" s="2">
        <v>39973</v>
      </c>
      <c r="F47">
        <v>6227997</v>
      </c>
      <c r="G47">
        <v>658614</v>
      </c>
      <c r="I47" s="14">
        <v>320</v>
      </c>
      <c r="J47" s="14">
        <v>7.534</v>
      </c>
      <c r="K47" s="14">
        <v>16.5</v>
      </c>
      <c r="L47" t="s">
        <v>133</v>
      </c>
    </row>
    <row r="48" spans="1:12" ht="12.75">
      <c r="A48" s="4" t="s">
        <v>121</v>
      </c>
      <c r="B48" s="2">
        <v>39973</v>
      </c>
      <c r="F48">
        <v>6228736</v>
      </c>
      <c r="G48">
        <v>660076</v>
      </c>
      <c r="I48" s="14">
        <v>75</v>
      </c>
      <c r="J48" s="14">
        <v>7.1</v>
      </c>
      <c r="K48" s="14">
        <v>20</v>
      </c>
      <c r="L48" t="s">
        <v>130</v>
      </c>
    </row>
    <row r="49" spans="1:12" ht="12.75">
      <c r="A49" s="4" t="s">
        <v>122</v>
      </c>
      <c r="B49" s="2">
        <v>39973</v>
      </c>
      <c r="D49" s="3"/>
      <c r="F49">
        <v>6228899</v>
      </c>
      <c r="G49">
        <v>660420</v>
      </c>
      <c r="I49" s="14">
        <v>259</v>
      </c>
      <c r="J49" s="14">
        <v>7.42</v>
      </c>
      <c r="K49" s="14">
        <v>15.2</v>
      </c>
      <c r="L49" t="s">
        <v>134</v>
      </c>
    </row>
    <row r="50" spans="1:12" ht="12.75">
      <c r="A50" s="4" t="s">
        <v>123</v>
      </c>
      <c r="B50" s="2">
        <v>39973</v>
      </c>
      <c r="D50" s="3"/>
      <c r="F50">
        <v>6229198</v>
      </c>
      <c r="G50">
        <v>660454</v>
      </c>
      <c r="I50" s="14">
        <v>35</v>
      </c>
      <c r="J50" s="14">
        <v>6.4</v>
      </c>
      <c r="K50" s="14">
        <v>17.2</v>
      </c>
      <c r="L50" t="s">
        <v>131</v>
      </c>
    </row>
    <row r="51" spans="1:12" ht="12.75">
      <c r="A51" s="4" t="s">
        <v>124</v>
      </c>
      <c r="B51" s="2">
        <v>39973</v>
      </c>
      <c r="C51" s="1"/>
      <c r="F51">
        <v>6230386</v>
      </c>
      <c r="G51">
        <v>660813</v>
      </c>
      <c r="I51" s="14">
        <v>9</v>
      </c>
      <c r="J51" s="9">
        <v>6.65</v>
      </c>
      <c r="K51" s="14">
        <v>20.9</v>
      </c>
      <c r="L51" t="s">
        <v>264</v>
      </c>
    </row>
    <row r="52" spans="1:12" ht="12.75">
      <c r="A52" s="4" t="s">
        <v>125</v>
      </c>
      <c r="B52" s="2">
        <v>39973</v>
      </c>
      <c r="C52" s="1"/>
      <c r="F52">
        <v>6231997</v>
      </c>
      <c r="G52">
        <v>660659</v>
      </c>
      <c r="I52" s="14">
        <v>177</v>
      </c>
      <c r="J52" s="12">
        <v>7.48</v>
      </c>
      <c r="K52" s="12">
        <v>18.3</v>
      </c>
      <c r="L52" t="s">
        <v>263</v>
      </c>
    </row>
    <row r="53" spans="3:11" ht="12.75">
      <c r="C53" s="1"/>
      <c r="J53" s="12"/>
      <c r="K53" s="12"/>
    </row>
    <row r="54" spans="1:12" ht="12.75">
      <c r="A54" s="4" t="s">
        <v>135</v>
      </c>
      <c r="B54" s="2">
        <v>39973</v>
      </c>
      <c r="C54" s="1"/>
      <c r="F54">
        <v>6233359</v>
      </c>
      <c r="G54">
        <v>663170</v>
      </c>
      <c r="I54" s="14">
        <v>169</v>
      </c>
      <c r="J54" s="12">
        <v>8.21</v>
      </c>
      <c r="K54" s="12">
        <v>20.5</v>
      </c>
      <c r="L54" t="s">
        <v>165</v>
      </c>
    </row>
    <row r="55" spans="1:12" ht="12.75">
      <c r="A55" s="4" t="s">
        <v>136</v>
      </c>
      <c r="B55" s="2">
        <v>39973</v>
      </c>
      <c r="C55" s="1"/>
      <c r="F55">
        <v>6233550</v>
      </c>
      <c r="G55">
        <v>663377</v>
      </c>
      <c r="I55" s="14">
        <v>263</v>
      </c>
      <c r="J55" s="12">
        <v>8.08</v>
      </c>
      <c r="K55" s="12">
        <v>21</v>
      </c>
      <c r="L55" t="s">
        <v>166</v>
      </c>
    </row>
    <row r="56" spans="1:12" ht="12.75">
      <c r="A56" s="4" t="s">
        <v>137</v>
      </c>
      <c r="B56" s="2">
        <v>39973</v>
      </c>
      <c r="C56" s="1"/>
      <c r="F56">
        <v>6233586</v>
      </c>
      <c r="G56">
        <v>663491</v>
      </c>
      <c r="I56" s="14">
        <v>271</v>
      </c>
      <c r="J56" s="12">
        <v>8.29</v>
      </c>
      <c r="K56" s="12">
        <v>20.5</v>
      </c>
      <c r="L56" t="s">
        <v>167</v>
      </c>
    </row>
    <row r="57" spans="1:12" ht="12.75">
      <c r="A57" s="4" t="s">
        <v>138</v>
      </c>
      <c r="B57" s="2">
        <v>39973</v>
      </c>
      <c r="C57" s="1"/>
      <c r="F57">
        <v>6233636</v>
      </c>
      <c r="G57">
        <v>663682</v>
      </c>
      <c r="I57" s="14">
        <v>153</v>
      </c>
      <c r="J57" s="12">
        <v>7.77</v>
      </c>
      <c r="K57" s="12">
        <v>15.7</v>
      </c>
      <c r="L57" t="s">
        <v>168</v>
      </c>
    </row>
    <row r="58" spans="1:13" ht="12.75">
      <c r="A58" s="4" t="s">
        <v>139</v>
      </c>
      <c r="B58" s="2">
        <v>39973</v>
      </c>
      <c r="C58" s="1"/>
      <c r="F58">
        <v>6233619</v>
      </c>
      <c r="G58">
        <v>663788</v>
      </c>
      <c r="I58" s="14">
        <v>310</v>
      </c>
      <c r="J58" s="12">
        <v>8.16</v>
      </c>
      <c r="K58" s="12">
        <v>15</v>
      </c>
      <c r="L58" t="s">
        <v>77</v>
      </c>
      <c r="M58">
        <v>202</v>
      </c>
    </row>
    <row r="59" spans="1:13" ht="12.75">
      <c r="A59" s="4" t="s">
        <v>140</v>
      </c>
      <c r="B59" s="2">
        <v>39973</v>
      </c>
      <c r="C59" s="1"/>
      <c r="F59">
        <v>6233608</v>
      </c>
      <c r="G59">
        <v>663770</v>
      </c>
      <c r="I59" s="14">
        <v>258</v>
      </c>
      <c r="J59" s="12">
        <v>7.92</v>
      </c>
      <c r="K59" s="12">
        <v>14.3</v>
      </c>
      <c r="L59" t="s">
        <v>180</v>
      </c>
      <c r="M59">
        <v>204</v>
      </c>
    </row>
    <row r="60" spans="1:12" ht="12.75">
      <c r="A60" s="4" t="s">
        <v>141</v>
      </c>
      <c r="B60" s="2">
        <v>39973</v>
      </c>
      <c r="C60" s="1"/>
      <c r="F60">
        <v>6233591</v>
      </c>
      <c r="G60">
        <v>663950</v>
      </c>
      <c r="I60" s="14">
        <v>295</v>
      </c>
      <c r="J60" s="12">
        <v>7.96</v>
      </c>
      <c r="K60" s="12">
        <v>17.1</v>
      </c>
      <c r="L60" t="s">
        <v>76</v>
      </c>
    </row>
    <row r="61" spans="1:13" ht="12.75">
      <c r="A61" s="4" t="s">
        <v>142</v>
      </c>
      <c r="B61" s="2">
        <v>39973</v>
      </c>
      <c r="C61" s="1"/>
      <c r="F61">
        <v>6233575</v>
      </c>
      <c r="G61">
        <v>664116</v>
      </c>
      <c r="I61" s="14">
        <v>305</v>
      </c>
      <c r="J61" s="12">
        <v>8.17</v>
      </c>
      <c r="K61" s="12">
        <v>17</v>
      </c>
      <c r="L61" t="s">
        <v>169</v>
      </c>
      <c r="M61">
        <v>205</v>
      </c>
    </row>
    <row r="62" spans="1:13" ht="12.75">
      <c r="A62" s="4" t="s">
        <v>143</v>
      </c>
      <c r="B62" s="2">
        <v>39973</v>
      </c>
      <c r="C62" s="1"/>
      <c r="F62">
        <v>6233585</v>
      </c>
      <c r="G62">
        <v>664599</v>
      </c>
      <c r="I62" s="14">
        <v>204</v>
      </c>
      <c r="J62" s="12">
        <v>8.32</v>
      </c>
      <c r="K62" s="12">
        <v>19</v>
      </c>
      <c r="L62" t="s">
        <v>170</v>
      </c>
      <c r="M62">
        <v>209</v>
      </c>
    </row>
    <row r="63" spans="1:13" ht="12.75">
      <c r="A63" s="4" t="s">
        <v>144</v>
      </c>
      <c r="B63" s="2">
        <v>39973</v>
      </c>
      <c r="C63" s="1"/>
      <c r="F63">
        <v>6233598</v>
      </c>
      <c r="G63">
        <v>664639</v>
      </c>
      <c r="I63" s="14">
        <v>191</v>
      </c>
      <c r="J63" s="12">
        <v>8.07</v>
      </c>
      <c r="K63" s="12">
        <v>14.6</v>
      </c>
      <c r="L63" t="s">
        <v>171</v>
      </c>
      <c r="M63">
        <v>211</v>
      </c>
    </row>
    <row r="64" spans="1:13" ht="12.75">
      <c r="A64" s="4" t="s">
        <v>145</v>
      </c>
      <c r="B64" s="2">
        <v>39973</v>
      </c>
      <c r="C64" s="1"/>
      <c r="F64">
        <v>6233576</v>
      </c>
      <c r="G64">
        <v>664656</v>
      </c>
      <c r="I64" s="14">
        <v>120</v>
      </c>
      <c r="J64" s="12">
        <v>7.98</v>
      </c>
      <c r="K64" s="12">
        <v>16.2</v>
      </c>
      <c r="L64" t="s">
        <v>172</v>
      </c>
      <c r="M64">
        <v>214</v>
      </c>
    </row>
    <row r="65" spans="1:13" ht="12.75">
      <c r="A65" s="4" t="s">
        <v>146</v>
      </c>
      <c r="B65" s="2">
        <v>39973</v>
      </c>
      <c r="C65" s="1"/>
      <c r="F65">
        <v>6233453</v>
      </c>
      <c r="G65">
        <v>664767</v>
      </c>
      <c r="I65" s="14">
        <v>175</v>
      </c>
      <c r="J65" s="12">
        <v>7.62</v>
      </c>
      <c r="K65" s="12">
        <v>17.5</v>
      </c>
      <c r="L65" t="s">
        <v>173</v>
      </c>
      <c r="M65">
        <v>216</v>
      </c>
    </row>
    <row r="66" spans="1:13" ht="12.75">
      <c r="A66" s="4" t="s">
        <v>147</v>
      </c>
      <c r="B66" s="2">
        <v>39973</v>
      </c>
      <c r="C66" s="1"/>
      <c r="F66">
        <v>6233292</v>
      </c>
      <c r="G66">
        <v>664917</v>
      </c>
      <c r="I66" s="14">
        <v>354</v>
      </c>
      <c r="J66" s="12">
        <v>8.64</v>
      </c>
      <c r="K66" s="12">
        <v>19.3</v>
      </c>
      <c r="L66" t="s">
        <v>174</v>
      </c>
      <c r="M66">
        <v>221</v>
      </c>
    </row>
    <row r="67" spans="1:13" ht="12.75">
      <c r="A67" s="4" t="s">
        <v>148</v>
      </c>
      <c r="B67" s="2">
        <v>39973</v>
      </c>
      <c r="C67" s="1"/>
      <c r="F67">
        <v>6233312</v>
      </c>
      <c r="G67" s="32" t="s">
        <v>164</v>
      </c>
      <c r="I67" s="14">
        <v>151</v>
      </c>
      <c r="J67" s="12">
        <v>7.96</v>
      </c>
      <c r="K67" s="12">
        <v>18.8</v>
      </c>
      <c r="L67" t="s">
        <v>278</v>
      </c>
      <c r="M67">
        <v>220</v>
      </c>
    </row>
    <row r="68" spans="1:13" ht="12.75">
      <c r="A68" s="4" t="s">
        <v>149</v>
      </c>
      <c r="B68" s="2">
        <v>39973</v>
      </c>
      <c r="C68" s="1"/>
      <c r="F68">
        <v>6233268</v>
      </c>
      <c r="G68">
        <v>665275</v>
      </c>
      <c r="I68" s="14">
        <v>225</v>
      </c>
      <c r="J68" s="12">
        <v>8.55</v>
      </c>
      <c r="K68" s="12">
        <v>27.3</v>
      </c>
      <c r="L68" t="s">
        <v>170</v>
      </c>
      <c r="M68">
        <v>223</v>
      </c>
    </row>
    <row r="69" spans="1:13" ht="12.75">
      <c r="A69" s="4" t="s">
        <v>150</v>
      </c>
      <c r="B69" s="2">
        <v>39973</v>
      </c>
      <c r="C69" s="1"/>
      <c r="F69">
        <v>6233096</v>
      </c>
      <c r="G69">
        <v>665407</v>
      </c>
      <c r="I69" s="14">
        <v>37</v>
      </c>
      <c r="J69" s="12">
        <v>8.96</v>
      </c>
      <c r="K69" s="12">
        <v>26.6</v>
      </c>
      <c r="L69" t="s">
        <v>175</v>
      </c>
      <c r="M69">
        <v>224</v>
      </c>
    </row>
    <row r="70" spans="1:13" ht="12.75">
      <c r="A70" s="4" t="s">
        <v>151</v>
      </c>
      <c r="B70" s="2">
        <v>39973</v>
      </c>
      <c r="C70" s="1"/>
      <c r="F70">
        <v>6233080</v>
      </c>
      <c r="G70">
        <v>665380</v>
      </c>
      <c r="I70" s="14">
        <v>390</v>
      </c>
      <c r="J70" s="12">
        <v>8.2</v>
      </c>
      <c r="K70" s="12">
        <v>16.9</v>
      </c>
      <c r="L70" t="s">
        <v>176</v>
      </c>
      <c r="M70">
        <v>224</v>
      </c>
    </row>
    <row r="71" spans="1:13" ht="12.75">
      <c r="A71" s="4" t="s">
        <v>152</v>
      </c>
      <c r="B71" s="2">
        <v>39973</v>
      </c>
      <c r="C71" s="1"/>
      <c r="F71">
        <v>6233064</v>
      </c>
      <c r="G71">
        <v>665396</v>
      </c>
      <c r="I71" s="14">
        <v>40</v>
      </c>
      <c r="J71" s="12">
        <v>7.85</v>
      </c>
      <c r="K71" s="12">
        <v>25.3</v>
      </c>
      <c r="L71" t="s">
        <v>177</v>
      </c>
      <c r="M71">
        <v>226</v>
      </c>
    </row>
    <row r="72" spans="1:13" ht="12.75">
      <c r="A72" s="4" t="s">
        <v>153</v>
      </c>
      <c r="B72" s="2">
        <v>39973</v>
      </c>
      <c r="C72" s="1"/>
      <c r="F72" s="32" t="s">
        <v>163</v>
      </c>
      <c r="G72">
        <v>665370</v>
      </c>
      <c r="I72" s="14">
        <v>61</v>
      </c>
      <c r="J72" s="12">
        <v>7.96</v>
      </c>
      <c r="K72" s="12">
        <v>24.2</v>
      </c>
      <c r="L72" t="s">
        <v>178</v>
      </c>
      <c r="M72">
        <v>227</v>
      </c>
    </row>
    <row r="73" spans="1:13" ht="12.75">
      <c r="A73" s="4" t="s">
        <v>154</v>
      </c>
      <c r="B73" s="2">
        <v>39973</v>
      </c>
      <c r="C73" s="1"/>
      <c r="F73">
        <v>6232541</v>
      </c>
      <c r="G73">
        <v>665385</v>
      </c>
      <c r="I73" s="14">
        <v>133</v>
      </c>
      <c r="J73" s="12">
        <v>8.64</v>
      </c>
      <c r="K73" s="12">
        <v>26.7</v>
      </c>
      <c r="L73" t="s">
        <v>179</v>
      </c>
      <c r="M73">
        <v>228</v>
      </c>
    </row>
    <row r="74" spans="1:12" ht="12.75">
      <c r="A74" s="4" t="s">
        <v>155</v>
      </c>
      <c r="B74" s="2">
        <v>39973</v>
      </c>
      <c r="C74" s="1"/>
      <c r="F74">
        <v>6232097</v>
      </c>
      <c r="G74">
        <v>665472</v>
      </c>
      <c r="I74" s="14">
        <v>35</v>
      </c>
      <c r="J74" s="12">
        <v>8.73</v>
      </c>
      <c r="K74" s="12">
        <v>26.9</v>
      </c>
      <c r="L74" t="s">
        <v>175</v>
      </c>
    </row>
    <row r="75" spans="1:12" ht="12.75">
      <c r="A75" s="4" t="s">
        <v>156</v>
      </c>
      <c r="B75" s="2">
        <v>39973</v>
      </c>
      <c r="C75" s="2"/>
      <c r="F75">
        <v>6232061</v>
      </c>
      <c r="G75">
        <v>665463</v>
      </c>
      <c r="I75" s="14">
        <v>58</v>
      </c>
      <c r="J75" s="12">
        <v>7.85</v>
      </c>
      <c r="K75" s="12">
        <v>22.3</v>
      </c>
      <c r="L75" t="s">
        <v>181</v>
      </c>
    </row>
    <row r="76" spans="1:13" ht="12.75">
      <c r="A76" s="4" t="s">
        <v>157</v>
      </c>
      <c r="B76" s="2">
        <v>39973</v>
      </c>
      <c r="C76" s="1"/>
      <c r="F76">
        <v>6231858</v>
      </c>
      <c r="G76">
        <v>665490</v>
      </c>
      <c r="I76" s="14">
        <v>79</v>
      </c>
      <c r="J76" s="12">
        <v>8.08</v>
      </c>
      <c r="K76" s="12">
        <v>24.6</v>
      </c>
      <c r="L76" t="s">
        <v>182</v>
      </c>
      <c r="M76">
        <v>229</v>
      </c>
    </row>
    <row r="77" spans="1:13" ht="12.75">
      <c r="A77" s="4" t="s">
        <v>158</v>
      </c>
      <c r="B77" s="2">
        <v>39973</v>
      </c>
      <c r="C77" s="1"/>
      <c r="F77">
        <v>6231755</v>
      </c>
      <c r="G77">
        <v>665522</v>
      </c>
      <c r="I77" s="14">
        <v>144</v>
      </c>
      <c r="J77" s="12">
        <v>7.81</v>
      </c>
      <c r="K77" s="12">
        <v>23</v>
      </c>
      <c r="L77" t="s">
        <v>183</v>
      </c>
      <c r="M77">
        <v>230</v>
      </c>
    </row>
    <row r="78" spans="1:13" ht="12.75">
      <c r="A78" s="4" t="s">
        <v>159</v>
      </c>
      <c r="B78" s="2">
        <v>39973</v>
      </c>
      <c r="C78" s="1"/>
      <c r="F78">
        <v>6231680</v>
      </c>
      <c r="G78">
        <v>665547</v>
      </c>
      <c r="I78" s="14">
        <v>163</v>
      </c>
      <c r="J78" s="12">
        <v>8.03</v>
      </c>
      <c r="K78" s="12">
        <v>25.5</v>
      </c>
      <c r="L78" t="s">
        <v>184</v>
      </c>
      <c r="M78">
        <v>231</v>
      </c>
    </row>
    <row r="79" spans="1:13" ht="12.75">
      <c r="A79" s="4" t="s">
        <v>160</v>
      </c>
      <c r="B79" s="2">
        <v>39973</v>
      </c>
      <c r="C79" s="1"/>
      <c r="F79">
        <v>6231575</v>
      </c>
      <c r="G79">
        <v>665614</v>
      </c>
      <c r="I79" s="14">
        <v>160</v>
      </c>
      <c r="J79" s="12">
        <v>7.71</v>
      </c>
      <c r="K79" s="12">
        <v>26.9</v>
      </c>
      <c r="L79" t="s">
        <v>166</v>
      </c>
      <c r="M79">
        <v>234</v>
      </c>
    </row>
    <row r="80" spans="1:13" ht="12.75">
      <c r="A80" s="4" t="s">
        <v>161</v>
      </c>
      <c r="B80" s="2">
        <v>39973</v>
      </c>
      <c r="C80" s="1"/>
      <c r="F80">
        <v>6231402</v>
      </c>
      <c r="G80">
        <v>665762</v>
      </c>
      <c r="I80" s="14">
        <v>242</v>
      </c>
      <c r="J80" s="12">
        <v>7.88</v>
      </c>
      <c r="K80" s="12">
        <v>26.7</v>
      </c>
      <c r="L80" t="s">
        <v>166</v>
      </c>
      <c r="M80">
        <v>235</v>
      </c>
    </row>
    <row r="81" spans="1:13" ht="12.75">
      <c r="A81" s="4" t="s">
        <v>162</v>
      </c>
      <c r="B81" s="2">
        <v>39973</v>
      </c>
      <c r="C81" s="1"/>
      <c r="F81">
        <v>6231362</v>
      </c>
      <c r="G81">
        <v>665788</v>
      </c>
      <c r="I81" s="14">
        <v>166</v>
      </c>
      <c r="J81" s="12">
        <v>8.04</v>
      </c>
      <c r="K81" s="12">
        <v>24.6</v>
      </c>
      <c r="L81" t="s">
        <v>185</v>
      </c>
      <c r="M81">
        <v>236</v>
      </c>
    </row>
    <row r="82" ht="12.75">
      <c r="C82" s="1"/>
    </row>
    <row r="83" spans="1:12" ht="12.75">
      <c r="A83" s="4" t="s">
        <v>186</v>
      </c>
      <c r="B83" s="2">
        <v>39973</v>
      </c>
      <c r="C83" s="1"/>
      <c r="F83" s="30">
        <v>6230802</v>
      </c>
      <c r="G83">
        <v>666071</v>
      </c>
      <c r="I83" s="14">
        <v>32</v>
      </c>
      <c r="J83" s="12">
        <v>7.76</v>
      </c>
      <c r="L83" t="s">
        <v>230</v>
      </c>
    </row>
    <row r="84" spans="1:12" ht="12.75">
      <c r="A84" s="4" t="s">
        <v>187</v>
      </c>
      <c r="B84" s="2">
        <v>39973</v>
      </c>
      <c r="C84" s="1"/>
      <c r="F84" s="30">
        <v>6230582</v>
      </c>
      <c r="G84">
        <v>665957</v>
      </c>
      <c r="I84" s="14">
        <v>190</v>
      </c>
      <c r="J84" s="12">
        <v>7.38</v>
      </c>
      <c r="L84" t="s">
        <v>231</v>
      </c>
    </row>
    <row r="85" spans="1:12" ht="12.75">
      <c r="A85" s="4" t="s">
        <v>188</v>
      </c>
      <c r="B85" s="2">
        <v>39973</v>
      </c>
      <c r="C85" s="1"/>
      <c r="F85" s="30">
        <v>6239548</v>
      </c>
      <c r="G85">
        <v>665960</v>
      </c>
      <c r="I85" s="14">
        <v>193</v>
      </c>
      <c r="J85" s="12">
        <v>7.79</v>
      </c>
      <c r="K85" s="14">
        <v>14.4</v>
      </c>
      <c r="L85" t="s">
        <v>232</v>
      </c>
    </row>
    <row r="86" spans="1:12" ht="12.75">
      <c r="A86" s="4" t="s">
        <v>189</v>
      </c>
      <c r="B86" s="2">
        <v>39973</v>
      </c>
      <c r="C86" s="1"/>
      <c r="F86" s="30">
        <v>6239184</v>
      </c>
      <c r="G86">
        <v>666109</v>
      </c>
      <c r="I86" s="14">
        <v>218</v>
      </c>
      <c r="J86" s="12">
        <v>7.62</v>
      </c>
      <c r="L86" t="s">
        <v>233</v>
      </c>
    </row>
    <row r="87" spans="1:12" ht="12.75">
      <c r="A87" s="4" t="s">
        <v>190</v>
      </c>
      <c r="B87" s="2">
        <v>39973</v>
      </c>
      <c r="C87" s="1"/>
      <c r="F87" s="30">
        <v>6230163</v>
      </c>
      <c r="G87">
        <v>666319</v>
      </c>
      <c r="I87" s="14">
        <v>151</v>
      </c>
      <c r="J87" s="12">
        <v>7.81</v>
      </c>
      <c r="K87" s="14">
        <v>15.6</v>
      </c>
      <c r="L87" t="s">
        <v>234</v>
      </c>
    </row>
    <row r="88" spans="1:12" ht="12.75">
      <c r="A88" s="4" t="s">
        <v>191</v>
      </c>
      <c r="B88" s="2">
        <v>39973</v>
      </c>
      <c r="C88" s="1"/>
      <c r="F88" s="32" t="s">
        <v>227</v>
      </c>
      <c r="G88">
        <v>667124</v>
      </c>
      <c r="I88" s="14">
        <v>212</v>
      </c>
      <c r="J88" s="12">
        <v>7.06</v>
      </c>
      <c r="K88" s="12"/>
      <c r="L88" t="s">
        <v>235</v>
      </c>
    </row>
    <row r="89" spans="1:12" ht="12.75">
      <c r="A89" s="4" t="s">
        <v>192</v>
      </c>
      <c r="B89" s="2">
        <v>39973</v>
      </c>
      <c r="C89" s="1"/>
      <c r="F89" s="30">
        <v>6229595</v>
      </c>
      <c r="G89">
        <v>667132</v>
      </c>
      <c r="I89" s="14">
        <v>230</v>
      </c>
      <c r="J89" s="12">
        <v>8.32</v>
      </c>
      <c r="K89" s="12">
        <v>15</v>
      </c>
      <c r="L89" t="s">
        <v>236</v>
      </c>
    </row>
    <row r="90" spans="1:12" ht="12.75">
      <c r="A90" s="4" t="s">
        <v>193</v>
      </c>
      <c r="B90" s="2">
        <v>39973</v>
      </c>
      <c r="C90" s="1"/>
      <c r="F90" s="30">
        <v>6229582</v>
      </c>
      <c r="G90">
        <v>667135</v>
      </c>
      <c r="I90" s="14">
        <v>220</v>
      </c>
      <c r="J90" s="12">
        <v>8</v>
      </c>
      <c r="K90" s="12"/>
      <c r="L90" t="s">
        <v>237</v>
      </c>
    </row>
    <row r="91" spans="1:12" ht="12.75">
      <c r="A91" s="4" t="s">
        <v>194</v>
      </c>
      <c r="B91" s="2">
        <v>39973</v>
      </c>
      <c r="C91" s="1"/>
      <c r="F91" s="30">
        <v>6229509</v>
      </c>
      <c r="G91">
        <v>667168</v>
      </c>
      <c r="I91" s="14">
        <v>217</v>
      </c>
      <c r="J91" s="12">
        <v>8.05</v>
      </c>
      <c r="K91" s="12">
        <v>15.8</v>
      </c>
      <c r="L91" t="s">
        <v>238</v>
      </c>
    </row>
    <row r="92" spans="1:12" ht="12.75">
      <c r="A92" s="4" t="s">
        <v>195</v>
      </c>
      <c r="B92" s="2">
        <v>39973</v>
      </c>
      <c r="C92" s="1"/>
      <c r="F92" s="32" t="s">
        <v>228</v>
      </c>
      <c r="G92">
        <v>661774</v>
      </c>
      <c r="I92" s="14">
        <v>257</v>
      </c>
      <c r="J92" s="12">
        <v>6.61</v>
      </c>
      <c r="K92" s="12">
        <v>12.8</v>
      </c>
      <c r="L92" t="s">
        <v>261</v>
      </c>
    </row>
    <row r="93" spans="1:12" ht="12.75">
      <c r="A93" s="4" t="s">
        <v>196</v>
      </c>
      <c r="B93" s="2">
        <v>39973</v>
      </c>
      <c r="C93" s="1"/>
      <c r="F93" s="32" t="s">
        <v>228</v>
      </c>
      <c r="G93">
        <v>667228</v>
      </c>
      <c r="I93" s="14">
        <v>122</v>
      </c>
      <c r="J93" s="12">
        <v>8.27</v>
      </c>
      <c r="K93" s="12">
        <v>16</v>
      </c>
      <c r="L93" t="s">
        <v>238</v>
      </c>
    </row>
    <row r="94" spans="1:12" ht="12.75">
      <c r="A94" s="4" t="s">
        <v>197</v>
      </c>
      <c r="B94" s="2">
        <v>39973</v>
      </c>
      <c r="C94" s="1"/>
      <c r="F94" s="30">
        <v>6228164</v>
      </c>
      <c r="G94">
        <v>667239</v>
      </c>
      <c r="I94" s="14">
        <v>191</v>
      </c>
      <c r="J94" s="12">
        <v>7.49</v>
      </c>
      <c r="K94" s="12">
        <v>16.5</v>
      </c>
      <c r="L94" t="s">
        <v>238</v>
      </c>
    </row>
    <row r="95" spans="1:12" ht="12.75">
      <c r="A95" s="4" t="s">
        <v>198</v>
      </c>
      <c r="B95" s="2">
        <v>39973</v>
      </c>
      <c r="C95" s="1"/>
      <c r="F95" s="32" t="s">
        <v>229</v>
      </c>
      <c r="G95">
        <v>667280</v>
      </c>
      <c r="I95" s="14">
        <v>181</v>
      </c>
      <c r="J95" s="12">
        <v>7.49</v>
      </c>
      <c r="K95" s="12">
        <v>17.4</v>
      </c>
      <c r="L95" t="s">
        <v>238</v>
      </c>
    </row>
    <row r="96" spans="1:12" ht="12.75">
      <c r="A96" s="4" t="s">
        <v>199</v>
      </c>
      <c r="B96" s="2">
        <v>39973</v>
      </c>
      <c r="C96" s="1"/>
      <c r="F96" s="30">
        <v>6229267</v>
      </c>
      <c r="G96">
        <v>667257</v>
      </c>
      <c r="I96" s="14">
        <v>98</v>
      </c>
      <c r="J96" s="12">
        <v>6.49</v>
      </c>
      <c r="K96" s="12">
        <v>13</v>
      </c>
      <c r="L96" t="s">
        <v>239</v>
      </c>
    </row>
    <row r="97" spans="1:12" ht="12.75">
      <c r="A97" s="4" t="s">
        <v>200</v>
      </c>
      <c r="B97" s="2">
        <v>39973</v>
      </c>
      <c r="C97" s="1"/>
      <c r="F97" s="30">
        <v>6229268</v>
      </c>
      <c r="G97">
        <v>667253</v>
      </c>
      <c r="I97" s="14">
        <v>222</v>
      </c>
      <c r="J97" s="12">
        <v>7.62</v>
      </c>
      <c r="K97" s="12">
        <v>15.2</v>
      </c>
      <c r="L97" t="s">
        <v>240</v>
      </c>
    </row>
    <row r="98" spans="1:12" ht="12.75">
      <c r="A98" s="4" t="s">
        <v>201</v>
      </c>
      <c r="B98" s="2">
        <v>39973</v>
      </c>
      <c r="C98" s="1"/>
      <c r="F98" s="30">
        <v>6229243</v>
      </c>
      <c r="G98">
        <v>667254</v>
      </c>
      <c r="I98" s="14">
        <v>171</v>
      </c>
      <c r="J98" s="12">
        <v>7.61</v>
      </c>
      <c r="K98" s="12">
        <v>15.1</v>
      </c>
      <c r="L98" t="s">
        <v>238</v>
      </c>
    </row>
    <row r="99" spans="1:12" ht="12.75">
      <c r="A99" s="4" t="s">
        <v>202</v>
      </c>
      <c r="B99" s="2">
        <v>39973</v>
      </c>
      <c r="C99" s="1"/>
      <c r="F99" s="30">
        <v>6229241</v>
      </c>
      <c r="G99">
        <v>667253</v>
      </c>
      <c r="I99" s="14">
        <v>905</v>
      </c>
      <c r="J99" s="12">
        <v>6.22</v>
      </c>
      <c r="K99" s="12">
        <v>15.5</v>
      </c>
      <c r="L99" t="s">
        <v>241</v>
      </c>
    </row>
    <row r="100" spans="1:12" ht="12.75">
      <c r="A100" s="4" t="s">
        <v>203</v>
      </c>
      <c r="B100" s="2">
        <v>39973</v>
      </c>
      <c r="C100" s="1"/>
      <c r="F100" s="30">
        <v>6229177</v>
      </c>
      <c r="G100">
        <v>667315</v>
      </c>
      <c r="I100" s="14">
        <v>295</v>
      </c>
      <c r="J100" s="12">
        <v>8.26</v>
      </c>
      <c r="K100" s="12">
        <v>11.7</v>
      </c>
      <c r="L100" t="s">
        <v>242</v>
      </c>
    </row>
    <row r="101" spans="1:12" ht="12.75">
      <c r="A101" s="4" t="s">
        <v>204</v>
      </c>
      <c r="B101" s="2">
        <v>39973</v>
      </c>
      <c r="C101" s="1"/>
      <c r="F101">
        <v>6229153</v>
      </c>
      <c r="G101">
        <v>667342</v>
      </c>
      <c r="I101" s="14">
        <v>297</v>
      </c>
      <c r="J101" s="12">
        <v>8.62</v>
      </c>
      <c r="K101" s="12">
        <v>16.5</v>
      </c>
      <c r="L101" t="s">
        <v>262</v>
      </c>
    </row>
    <row r="102" spans="1:12" ht="12.75">
      <c r="A102" s="4" t="s">
        <v>205</v>
      </c>
      <c r="B102" s="2">
        <v>39973</v>
      </c>
      <c r="C102" s="1"/>
      <c r="F102">
        <v>6229139</v>
      </c>
      <c r="G102">
        <v>667348</v>
      </c>
      <c r="I102" s="14">
        <v>199</v>
      </c>
      <c r="J102" s="12">
        <v>8.23</v>
      </c>
      <c r="K102" s="12">
        <v>15.5</v>
      </c>
      <c r="L102" t="s">
        <v>77</v>
      </c>
    </row>
    <row r="103" spans="1:12" ht="12.75">
      <c r="A103" s="4" t="s">
        <v>206</v>
      </c>
      <c r="B103" s="2">
        <v>39973</v>
      </c>
      <c r="C103" s="1"/>
      <c r="F103">
        <v>6229103</v>
      </c>
      <c r="G103">
        <v>667339</v>
      </c>
      <c r="I103" s="14">
        <v>314</v>
      </c>
      <c r="J103" s="12">
        <v>7.82</v>
      </c>
      <c r="K103" s="12">
        <v>16</v>
      </c>
      <c r="L103" t="s">
        <v>243</v>
      </c>
    </row>
    <row r="104" spans="1:12" ht="12.75">
      <c r="A104" s="4" t="s">
        <v>207</v>
      </c>
      <c r="B104" s="2">
        <v>39973</v>
      </c>
      <c r="C104" s="1"/>
      <c r="F104">
        <v>6228998</v>
      </c>
      <c r="G104">
        <v>667291</v>
      </c>
      <c r="I104" s="14">
        <v>267</v>
      </c>
      <c r="J104" s="12">
        <v>7.777</v>
      </c>
      <c r="K104" s="12">
        <v>17.7</v>
      </c>
      <c r="L104" t="s">
        <v>238</v>
      </c>
    </row>
    <row r="105" spans="1:12" ht="12.75">
      <c r="A105" s="4" t="s">
        <v>208</v>
      </c>
      <c r="B105" s="2">
        <v>39973</v>
      </c>
      <c r="C105" s="1"/>
      <c r="F105">
        <v>6228962</v>
      </c>
      <c r="G105">
        <v>667209</v>
      </c>
      <c r="I105" s="14">
        <v>642</v>
      </c>
      <c r="J105" s="12">
        <v>7.22</v>
      </c>
      <c r="K105" s="12">
        <v>14.3</v>
      </c>
      <c r="L105" t="s">
        <v>244</v>
      </c>
    </row>
    <row r="106" spans="1:12" ht="12.75">
      <c r="A106" s="4" t="s">
        <v>209</v>
      </c>
      <c r="B106" s="2">
        <v>39973</v>
      </c>
      <c r="C106" s="1"/>
      <c r="F106">
        <v>6228881</v>
      </c>
      <c r="G106">
        <v>667219</v>
      </c>
      <c r="I106" s="14">
        <v>181</v>
      </c>
      <c r="J106" s="12">
        <v>8.67</v>
      </c>
      <c r="K106" s="12">
        <v>17.7</v>
      </c>
      <c r="L106" t="s">
        <v>245</v>
      </c>
    </row>
    <row r="107" spans="1:12" ht="12.75">
      <c r="A107" s="4" t="s">
        <v>210</v>
      </c>
      <c r="B107" s="2">
        <v>39973</v>
      </c>
      <c r="C107" s="1"/>
      <c r="F107">
        <v>6228873</v>
      </c>
      <c r="G107">
        <v>667224</v>
      </c>
      <c r="I107" s="14">
        <v>263</v>
      </c>
      <c r="J107" s="12">
        <v>7.43</v>
      </c>
      <c r="K107" s="12">
        <v>14.2</v>
      </c>
      <c r="L107" t="s">
        <v>246</v>
      </c>
    </row>
    <row r="108" spans="1:12" ht="12.75">
      <c r="A108" s="4" t="s">
        <v>211</v>
      </c>
      <c r="B108" s="2">
        <v>39973</v>
      </c>
      <c r="C108" s="1"/>
      <c r="F108">
        <v>6228332</v>
      </c>
      <c r="G108">
        <v>667258</v>
      </c>
      <c r="I108" s="14">
        <v>96</v>
      </c>
      <c r="J108" s="12">
        <v>6.85</v>
      </c>
      <c r="K108" s="12">
        <v>13.5</v>
      </c>
      <c r="L108" t="s">
        <v>247</v>
      </c>
    </row>
    <row r="109" spans="1:12" ht="12.75">
      <c r="A109" s="4" t="s">
        <v>212</v>
      </c>
      <c r="B109" s="2">
        <v>39973</v>
      </c>
      <c r="C109" s="1"/>
      <c r="F109">
        <v>6228368</v>
      </c>
      <c r="G109">
        <v>667165</v>
      </c>
      <c r="I109" s="14">
        <v>162</v>
      </c>
      <c r="J109" s="12">
        <v>6.35</v>
      </c>
      <c r="K109" s="12">
        <v>13.5</v>
      </c>
      <c r="L109" t="s">
        <v>248</v>
      </c>
    </row>
    <row r="110" spans="1:12" ht="12.75">
      <c r="A110" s="4" t="s">
        <v>213</v>
      </c>
      <c r="B110" s="2">
        <v>39973</v>
      </c>
      <c r="C110" s="1"/>
      <c r="F110">
        <v>6228364</v>
      </c>
      <c r="G110">
        <v>667151</v>
      </c>
      <c r="I110" s="14">
        <v>338</v>
      </c>
      <c r="J110" s="12">
        <v>7.1</v>
      </c>
      <c r="K110" s="12">
        <v>15.1</v>
      </c>
      <c r="L110" t="s">
        <v>249</v>
      </c>
    </row>
    <row r="111" spans="1:12" ht="12.75">
      <c r="A111" s="4" t="s">
        <v>214</v>
      </c>
      <c r="B111" s="2">
        <v>39973</v>
      </c>
      <c r="C111" s="1"/>
      <c r="F111">
        <v>6228248</v>
      </c>
      <c r="G111">
        <v>666977</v>
      </c>
      <c r="I111" s="14">
        <v>86</v>
      </c>
      <c r="J111" s="12">
        <v>6.49</v>
      </c>
      <c r="K111" s="12">
        <v>14.3</v>
      </c>
      <c r="L111" t="s">
        <v>250</v>
      </c>
    </row>
    <row r="112" spans="1:12" ht="12.75">
      <c r="A112" s="4" t="s">
        <v>215</v>
      </c>
      <c r="B112" s="2">
        <v>39973</v>
      </c>
      <c r="C112" s="1"/>
      <c r="F112">
        <v>6228305</v>
      </c>
      <c r="G112">
        <v>666734</v>
      </c>
      <c r="I112" s="14">
        <v>265</v>
      </c>
      <c r="J112" s="12">
        <v>7.2</v>
      </c>
      <c r="K112" s="12">
        <v>17.5</v>
      </c>
      <c r="L112" t="s">
        <v>251</v>
      </c>
    </row>
    <row r="113" spans="1:12" ht="12.75">
      <c r="A113" s="4" t="s">
        <v>216</v>
      </c>
      <c r="B113" s="2">
        <v>39973</v>
      </c>
      <c r="C113" s="1"/>
      <c r="F113">
        <v>6228603</v>
      </c>
      <c r="G113">
        <v>666500</v>
      </c>
      <c r="I113" s="14">
        <v>245</v>
      </c>
      <c r="J113" s="12">
        <v>6.95</v>
      </c>
      <c r="K113" s="12">
        <v>15.3</v>
      </c>
      <c r="L113" t="s">
        <v>252</v>
      </c>
    </row>
    <row r="114" spans="1:12" ht="12.75">
      <c r="A114" s="4" t="s">
        <v>217</v>
      </c>
      <c r="B114" s="2">
        <v>39973</v>
      </c>
      <c r="C114" s="1"/>
      <c r="F114">
        <v>6225634</v>
      </c>
      <c r="G114">
        <v>666513</v>
      </c>
      <c r="I114" s="14">
        <v>302</v>
      </c>
      <c r="J114" s="12">
        <v>7.1</v>
      </c>
      <c r="K114" s="12">
        <v>14.7</v>
      </c>
      <c r="L114" t="s">
        <v>253</v>
      </c>
    </row>
    <row r="115" spans="1:12" ht="12.75">
      <c r="A115" s="4" t="s">
        <v>218</v>
      </c>
      <c r="B115" s="2">
        <v>39973</v>
      </c>
      <c r="C115" s="1"/>
      <c r="F115">
        <v>6228660</v>
      </c>
      <c r="G115">
        <v>666518</v>
      </c>
      <c r="I115" s="14">
        <v>120</v>
      </c>
      <c r="J115" s="12">
        <v>6.74</v>
      </c>
      <c r="K115" s="12">
        <v>21.7</v>
      </c>
      <c r="L115" t="s">
        <v>254</v>
      </c>
    </row>
    <row r="116" spans="1:12" ht="12.75">
      <c r="A116" s="4" t="s">
        <v>219</v>
      </c>
      <c r="B116" s="2">
        <v>39973</v>
      </c>
      <c r="C116" s="1"/>
      <c r="F116">
        <v>6228721</v>
      </c>
      <c r="G116">
        <v>666389</v>
      </c>
      <c r="I116" s="14">
        <v>133</v>
      </c>
      <c r="J116" s="12">
        <v>6.53</v>
      </c>
      <c r="K116" s="12">
        <v>17.3</v>
      </c>
      <c r="L116" t="s">
        <v>255</v>
      </c>
    </row>
    <row r="117" spans="1:12" ht="12.75">
      <c r="A117" s="4" t="s">
        <v>220</v>
      </c>
      <c r="B117" s="2">
        <v>39973</v>
      </c>
      <c r="C117" s="1"/>
      <c r="F117">
        <v>6228718</v>
      </c>
      <c r="G117">
        <v>666345</v>
      </c>
      <c r="I117" s="14">
        <v>183</v>
      </c>
      <c r="J117" s="12">
        <v>6.66</v>
      </c>
      <c r="K117" s="12">
        <v>15.6</v>
      </c>
      <c r="L117" t="s">
        <v>256</v>
      </c>
    </row>
    <row r="118" spans="1:12" ht="12.75">
      <c r="A118" s="4" t="s">
        <v>221</v>
      </c>
      <c r="B118" s="2">
        <v>39973</v>
      </c>
      <c r="C118" s="1"/>
      <c r="F118">
        <v>6228600</v>
      </c>
      <c r="G118">
        <v>666099</v>
      </c>
      <c r="I118" s="14">
        <v>130</v>
      </c>
      <c r="J118" s="12">
        <v>7.1</v>
      </c>
      <c r="K118" s="12">
        <v>14.2</v>
      </c>
      <c r="L118" t="s">
        <v>257</v>
      </c>
    </row>
    <row r="119" spans="1:12" ht="12.75">
      <c r="A119" s="4" t="s">
        <v>222</v>
      </c>
      <c r="B119" s="2">
        <v>39973</v>
      </c>
      <c r="C119" s="1"/>
      <c r="F119">
        <v>6228758</v>
      </c>
      <c r="G119">
        <v>665984</v>
      </c>
      <c r="I119" s="14">
        <v>205</v>
      </c>
      <c r="J119" s="12">
        <v>7.13</v>
      </c>
      <c r="K119" s="12">
        <v>18</v>
      </c>
      <c r="L119" t="s">
        <v>258</v>
      </c>
    </row>
    <row r="120" spans="1:12" ht="12.75">
      <c r="A120" s="4" t="s">
        <v>223</v>
      </c>
      <c r="B120" s="2">
        <v>39973</v>
      </c>
      <c r="C120" s="1"/>
      <c r="F120">
        <v>6229233</v>
      </c>
      <c r="G120">
        <v>665889</v>
      </c>
      <c r="I120" s="14">
        <v>108</v>
      </c>
      <c r="J120" s="12">
        <v>7.76</v>
      </c>
      <c r="K120" s="12">
        <v>18</v>
      </c>
      <c r="L120" t="s">
        <v>259</v>
      </c>
    </row>
    <row r="121" spans="1:12" ht="12.75">
      <c r="A121" s="4" t="s">
        <v>224</v>
      </c>
      <c r="B121" s="2">
        <v>39973</v>
      </c>
      <c r="C121" s="1"/>
      <c r="F121">
        <v>6229448</v>
      </c>
      <c r="G121">
        <v>665790</v>
      </c>
      <c r="I121" s="14">
        <v>40</v>
      </c>
      <c r="J121" s="12">
        <v>7.5</v>
      </c>
      <c r="K121" s="12">
        <v>18.8</v>
      </c>
      <c r="L121" t="s">
        <v>260</v>
      </c>
    </row>
    <row r="122" spans="1:12" ht="12.75">
      <c r="A122" s="4" t="s">
        <v>225</v>
      </c>
      <c r="B122" s="2">
        <v>39973</v>
      </c>
      <c r="C122" s="1"/>
      <c r="F122">
        <v>6229686</v>
      </c>
      <c r="G122">
        <v>665711</v>
      </c>
      <c r="I122" s="14">
        <v>39</v>
      </c>
      <c r="J122" s="12">
        <v>7.7</v>
      </c>
      <c r="K122" s="12">
        <v>17.5</v>
      </c>
      <c r="L122" t="s">
        <v>260</v>
      </c>
    </row>
    <row r="123" spans="1:12" ht="12.75">
      <c r="A123" s="4" t="s">
        <v>226</v>
      </c>
      <c r="B123" s="2">
        <v>39973</v>
      </c>
      <c r="C123" s="1"/>
      <c r="F123">
        <v>6230233</v>
      </c>
      <c r="G123">
        <v>665747</v>
      </c>
      <c r="I123" s="14">
        <v>228</v>
      </c>
      <c r="J123" s="12">
        <v>7.23</v>
      </c>
      <c r="K123" s="12">
        <v>21.9</v>
      </c>
      <c r="L123" t="s">
        <v>260</v>
      </c>
    </row>
    <row r="124" spans="1:12" ht="12.75">
      <c r="A124" s="4" t="s">
        <v>283</v>
      </c>
      <c r="B124" s="2">
        <v>39974</v>
      </c>
      <c r="C124" s="1"/>
      <c r="F124">
        <v>6230954</v>
      </c>
      <c r="G124">
        <v>665621</v>
      </c>
      <c r="I124" s="14">
        <v>277</v>
      </c>
      <c r="J124" s="12">
        <v>8.69</v>
      </c>
      <c r="K124" s="12">
        <v>19.5</v>
      </c>
      <c r="L124" t="s">
        <v>309</v>
      </c>
    </row>
    <row r="125" spans="1:12" ht="12.75">
      <c r="A125" s="4" t="s">
        <v>284</v>
      </c>
      <c r="B125" s="2">
        <v>39974</v>
      </c>
      <c r="C125" s="1"/>
      <c r="F125">
        <v>6230855</v>
      </c>
      <c r="G125">
        <v>665517</v>
      </c>
      <c r="I125" s="14">
        <v>162</v>
      </c>
      <c r="J125" s="12">
        <v>8.17</v>
      </c>
      <c r="K125" s="12">
        <v>16.7</v>
      </c>
      <c r="L125" t="s">
        <v>310</v>
      </c>
    </row>
    <row r="126" spans="1:12" ht="12.75">
      <c r="A126" s="4" t="s">
        <v>285</v>
      </c>
      <c r="B126" s="2">
        <v>39974</v>
      </c>
      <c r="C126" s="1"/>
      <c r="F126">
        <v>6230709</v>
      </c>
      <c r="G126">
        <v>665127</v>
      </c>
      <c r="I126" s="14">
        <v>127</v>
      </c>
      <c r="J126" s="12">
        <v>7.96</v>
      </c>
      <c r="K126" s="12">
        <v>17.2</v>
      </c>
      <c r="L126" t="s">
        <v>311</v>
      </c>
    </row>
    <row r="127" spans="1:12" ht="12.75">
      <c r="A127" s="4" t="s">
        <v>286</v>
      </c>
      <c r="B127" s="2">
        <v>39974</v>
      </c>
      <c r="C127" s="1"/>
      <c r="F127">
        <v>6230700</v>
      </c>
      <c r="G127">
        <v>665113</v>
      </c>
      <c r="I127" s="14">
        <v>153</v>
      </c>
      <c r="J127" s="12">
        <v>8.23</v>
      </c>
      <c r="K127" s="12">
        <v>19.1</v>
      </c>
      <c r="L127" t="s">
        <v>312</v>
      </c>
    </row>
    <row r="128" spans="1:12" ht="12.75">
      <c r="A128" s="4" t="s">
        <v>287</v>
      </c>
      <c r="B128" s="2">
        <v>39974</v>
      </c>
      <c r="C128" s="1"/>
      <c r="F128">
        <v>6230160</v>
      </c>
      <c r="G128">
        <v>665170</v>
      </c>
      <c r="I128" s="14">
        <v>180</v>
      </c>
      <c r="J128" s="12">
        <v>7.7</v>
      </c>
      <c r="K128" s="12">
        <v>19.5</v>
      </c>
      <c r="L128" t="s">
        <v>313</v>
      </c>
    </row>
    <row r="129" spans="1:12" ht="12.75">
      <c r="A129" s="4" t="s">
        <v>288</v>
      </c>
      <c r="B129" s="2">
        <v>39974</v>
      </c>
      <c r="C129" s="1"/>
      <c r="F129">
        <v>6230137</v>
      </c>
      <c r="G129">
        <v>665117</v>
      </c>
      <c r="I129" s="14">
        <v>185</v>
      </c>
      <c r="J129" s="12">
        <v>7.98</v>
      </c>
      <c r="K129" s="12">
        <v>19.3</v>
      </c>
      <c r="L129" t="s">
        <v>373</v>
      </c>
    </row>
    <row r="130" spans="1:12" ht="12.75">
      <c r="A130" s="4" t="s">
        <v>289</v>
      </c>
      <c r="B130" s="2">
        <v>39974</v>
      </c>
      <c r="C130" s="1"/>
      <c r="F130">
        <v>6228322</v>
      </c>
      <c r="G130">
        <v>664902</v>
      </c>
      <c r="I130" s="14">
        <v>175</v>
      </c>
      <c r="J130" s="12">
        <v>7.9</v>
      </c>
      <c r="K130" s="12">
        <v>19.2</v>
      </c>
      <c r="L130" t="s">
        <v>314</v>
      </c>
    </row>
    <row r="131" spans="1:12" ht="12.75">
      <c r="A131" s="4" t="s">
        <v>290</v>
      </c>
      <c r="B131" s="2">
        <v>39974</v>
      </c>
      <c r="C131" s="1"/>
      <c r="F131">
        <v>6228296</v>
      </c>
      <c r="G131">
        <v>664853</v>
      </c>
      <c r="I131" s="14">
        <v>177</v>
      </c>
      <c r="J131" s="12">
        <v>8.1</v>
      </c>
      <c r="K131" s="12">
        <v>18.3</v>
      </c>
      <c r="L131" t="s">
        <v>315</v>
      </c>
    </row>
    <row r="132" spans="1:12" ht="12.75">
      <c r="A132" s="4" t="s">
        <v>291</v>
      </c>
      <c r="B132" s="2">
        <v>39974</v>
      </c>
      <c r="C132" s="1"/>
      <c r="F132">
        <v>6228266</v>
      </c>
      <c r="G132">
        <v>664803</v>
      </c>
      <c r="I132" s="14">
        <v>176</v>
      </c>
      <c r="J132" s="12">
        <v>8.24</v>
      </c>
      <c r="K132" s="12">
        <v>19</v>
      </c>
      <c r="L132" t="s">
        <v>316</v>
      </c>
    </row>
    <row r="133" spans="1:12" ht="12.75">
      <c r="A133" s="4" t="s">
        <v>292</v>
      </c>
      <c r="B133" s="2">
        <v>39974</v>
      </c>
      <c r="C133" s="1"/>
      <c r="F133">
        <v>6227630</v>
      </c>
      <c r="G133">
        <v>664644</v>
      </c>
      <c r="I133" s="14">
        <v>625</v>
      </c>
      <c r="J133" s="12">
        <v>8.06</v>
      </c>
      <c r="K133" s="12">
        <v>14.5</v>
      </c>
      <c r="L133" t="s">
        <v>317</v>
      </c>
    </row>
    <row r="134" spans="1:12" ht="12.75">
      <c r="A134" s="4" t="s">
        <v>293</v>
      </c>
      <c r="B134" s="2">
        <v>39974</v>
      </c>
      <c r="C134" s="1"/>
      <c r="F134">
        <v>6227611</v>
      </c>
      <c r="G134">
        <v>664634</v>
      </c>
      <c r="I134" s="14">
        <v>203</v>
      </c>
      <c r="J134" s="12">
        <v>8.05</v>
      </c>
      <c r="K134" s="12">
        <v>17.6</v>
      </c>
      <c r="L134" t="s">
        <v>318</v>
      </c>
    </row>
    <row r="135" spans="1:12" ht="12.75">
      <c r="A135" s="4" t="s">
        <v>294</v>
      </c>
      <c r="B135" s="2">
        <v>39974</v>
      </c>
      <c r="C135" s="1"/>
      <c r="F135">
        <v>6227680</v>
      </c>
      <c r="G135">
        <v>664842</v>
      </c>
      <c r="I135" s="14">
        <v>174</v>
      </c>
      <c r="J135" s="12">
        <v>7.98</v>
      </c>
      <c r="K135" s="12">
        <v>20.8</v>
      </c>
      <c r="L135" t="s">
        <v>319</v>
      </c>
    </row>
    <row r="136" spans="1:12" ht="12.75">
      <c r="A136" s="4" t="s">
        <v>295</v>
      </c>
      <c r="B136" s="2">
        <v>39974</v>
      </c>
      <c r="C136" s="1"/>
      <c r="F136">
        <v>6227472</v>
      </c>
      <c r="G136">
        <v>664656</v>
      </c>
      <c r="I136" s="14">
        <v>214</v>
      </c>
      <c r="J136" s="12">
        <v>7.5</v>
      </c>
      <c r="K136" s="12">
        <v>24.4</v>
      </c>
      <c r="L136" t="s">
        <v>320</v>
      </c>
    </row>
    <row r="137" spans="1:12" ht="12.75">
      <c r="A137" s="4" t="s">
        <v>296</v>
      </c>
      <c r="B137" s="2">
        <v>39974</v>
      </c>
      <c r="C137" s="1"/>
      <c r="F137">
        <v>6226734</v>
      </c>
      <c r="G137">
        <v>664778</v>
      </c>
      <c r="I137" s="14">
        <v>54</v>
      </c>
      <c r="J137" s="12">
        <v>7.96</v>
      </c>
      <c r="K137" s="12">
        <v>25</v>
      </c>
      <c r="L137" t="s">
        <v>321</v>
      </c>
    </row>
    <row r="138" spans="1:12" ht="12.75">
      <c r="A138" s="4" t="s">
        <v>297</v>
      </c>
      <c r="B138" s="2">
        <v>39974</v>
      </c>
      <c r="C138" s="1"/>
      <c r="F138">
        <v>6226729</v>
      </c>
      <c r="G138">
        <v>664782</v>
      </c>
      <c r="I138" s="14">
        <v>89</v>
      </c>
      <c r="J138" s="12">
        <v>6.7</v>
      </c>
      <c r="K138" s="12">
        <v>25.8</v>
      </c>
      <c r="L138" t="s">
        <v>322</v>
      </c>
    </row>
    <row r="139" spans="1:12" ht="12.75">
      <c r="A139" s="4" t="s">
        <v>298</v>
      </c>
      <c r="B139" s="2">
        <v>39974</v>
      </c>
      <c r="C139" s="1"/>
      <c r="F139">
        <v>6226705</v>
      </c>
      <c r="G139">
        <v>664802</v>
      </c>
      <c r="I139" s="14">
        <v>166</v>
      </c>
      <c r="J139" s="12">
        <v>6.93</v>
      </c>
      <c r="K139" s="12">
        <v>26</v>
      </c>
      <c r="L139" t="s">
        <v>323</v>
      </c>
    </row>
    <row r="140" spans="1:12" ht="12.75">
      <c r="A140" s="4" t="s">
        <v>299</v>
      </c>
      <c r="B140" s="2">
        <v>39974</v>
      </c>
      <c r="C140" s="1"/>
      <c r="F140">
        <v>6226620</v>
      </c>
      <c r="G140">
        <v>664869</v>
      </c>
      <c r="I140" s="14">
        <v>223</v>
      </c>
      <c r="J140" s="12">
        <v>7.3</v>
      </c>
      <c r="K140" s="12">
        <v>24</v>
      </c>
      <c r="L140" t="s">
        <v>324</v>
      </c>
    </row>
    <row r="141" spans="1:12" ht="12.75">
      <c r="A141" s="4" t="s">
        <v>300</v>
      </c>
      <c r="B141" s="2">
        <v>39974</v>
      </c>
      <c r="C141" s="1"/>
      <c r="F141">
        <v>6226499</v>
      </c>
      <c r="G141">
        <v>664959</v>
      </c>
      <c r="I141" s="14">
        <v>280</v>
      </c>
      <c r="J141" s="12">
        <v>7.99</v>
      </c>
      <c r="K141" s="12">
        <v>21.5</v>
      </c>
      <c r="L141" t="s">
        <v>326</v>
      </c>
    </row>
    <row r="142" spans="1:12" ht="12.75">
      <c r="A142" s="4" t="s">
        <v>301</v>
      </c>
      <c r="B142" s="2">
        <v>39974</v>
      </c>
      <c r="C142" s="1"/>
      <c r="F142">
        <v>6226167</v>
      </c>
      <c r="G142">
        <v>665156</v>
      </c>
      <c r="I142" s="14">
        <v>157</v>
      </c>
      <c r="J142" s="12">
        <v>7.9</v>
      </c>
      <c r="K142" s="12">
        <v>22.5</v>
      </c>
      <c r="L142" t="s">
        <v>325</v>
      </c>
    </row>
    <row r="143" spans="1:12" ht="12.75">
      <c r="A143" s="4" t="s">
        <v>302</v>
      </c>
      <c r="B143" s="2">
        <v>39974</v>
      </c>
      <c r="C143" s="1"/>
      <c r="F143">
        <v>6226317</v>
      </c>
      <c r="G143">
        <v>665011</v>
      </c>
      <c r="I143" s="14">
        <v>164</v>
      </c>
      <c r="J143" s="12">
        <v>7.5</v>
      </c>
      <c r="K143" s="12">
        <v>24.8</v>
      </c>
      <c r="L143" t="s">
        <v>327</v>
      </c>
    </row>
    <row r="144" spans="1:12" ht="12.75">
      <c r="A144" s="4" t="s">
        <v>303</v>
      </c>
      <c r="B144" s="2">
        <v>39974</v>
      </c>
      <c r="C144" s="1"/>
      <c r="F144">
        <v>6226844</v>
      </c>
      <c r="G144">
        <v>664985</v>
      </c>
      <c r="I144" s="14">
        <v>165</v>
      </c>
      <c r="J144" s="12">
        <v>8.01</v>
      </c>
      <c r="K144" s="12">
        <v>23.2</v>
      </c>
      <c r="L144" t="s">
        <v>328</v>
      </c>
    </row>
    <row r="145" spans="1:12" ht="12.75">
      <c r="A145" s="4" t="s">
        <v>304</v>
      </c>
      <c r="B145" s="2">
        <v>39974</v>
      </c>
      <c r="C145" s="1"/>
      <c r="F145">
        <v>6226983</v>
      </c>
      <c r="G145">
        <v>664915</v>
      </c>
      <c r="I145" s="14">
        <v>65</v>
      </c>
      <c r="J145" s="12">
        <v>8.2</v>
      </c>
      <c r="K145" s="12">
        <v>25.7</v>
      </c>
      <c r="L145" t="s">
        <v>329</v>
      </c>
    </row>
    <row r="146" spans="1:12" ht="12.75">
      <c r="A146" s="4" t="s">
        <v>305</v>
      </c>
      <c r="B146" s="2">
        <v>39974</v>
      </c>
      <c r="C146" s="1"/>
      <c r="F146">
        <v>6227444</v>
      </c>
      <c r="G146">
        <v>664935</v>
      </c>
      <c r="I146" s="14">
        <v>207</v>
      </c>
      <c r="J146" s="12">
        <v>8.4</v>
      </c>
      <c r="K146" s="12">
        <v>24.3</v>
      </c>
      <c r="L146" t="s">
        <v>330</v>
      </c>
    </row>
    <row r="147" spans="1:12" ht="12.75">
      <c r="A147" s="4" t="s">
        <v>306</v>
      </c>
      <c r="B147" s="2">
        <v>39974</v>
      </c>
      <c r="C147" s="1"/>
      <c r="F147">
        <v>6227635</v>
      </c>
      <c r="G147">
        <v>664620</v>
      </c>
      <c r="I147" s="14">
        <v>620</v>
      </c>
      <c r="J147" s="12">
        <v>7.44</v>
      </c>
      <c r="K147" s="12">
        <v>26</v>
      </c>
      <c r="L147" t="s">
        <v>331</v>
      </c>
    </row>
    <row r="148" spans="1:12" ht="12.75">
      <c r="A148" s="4" t="s">
        <v>307</v>
      </c>
      <c r="B148" s="2">
        <v>39974</v>
      </c>
      <c r="C148" s="1"/>
      <c r="F148">
        <v>6227887</v>
      </c>
      <c r="G148">
        <v>664699</v>
      </c>
      <c r="I148" s="14">
        <v>167</v>
      </c>
      <c r="J148" s="12">
        <v>8.04</v>
      </c>
      <c r="K148" s="12">
        <v>25.2</v>
      </c>
      <c r="L148" t="s">
        <v>332</v>
      </c>
    </row>
    <row r="149" spans="1:3" ht="12.75">
      <c r="A149" s="4" t="s">
        <v>308</v>
      </c>
      <c r="B149" s="2">
        <v>39974</v>
      </c>
      <c r="C149" s="1"/>
    </row>
    <row r="150" spans="1:11" ht="12.75">
      <c r="A150" s="4" t="s">
        <v>347</v>
      </c>
      <c r="B150" s="2">
        <v>39975</v>
      </c>
      <c r="C150" s="1"/>
      <c r="F150">
        <v>6231755</v>
      </c>
      <c r="G150">
        <v>665022</v>
      </c>
      <c r="I150" s="14">
        <v>127</v>
      </c>
      <c r="J150" s="12">
        <v>8.02</v>
      </c>
      <c r="K150" s="12">
        <v>19.3</v>
      </c>
    </row>
    <row r="151" spans="1:11" ht="12.75">
      <c r="A151" s="4" t="s">
        <v>348</v>
      </c>
      <c r="B151" s="2">
        <v>39975</v>
      </c>
      <c r="C151" s="1"/>
      <c r="F151">
        <v>6231742</v>
      </c>
      <c r="G151">
        <v>665016</v>
      </c>
      <c r="I151" s="14">
        <v>131</v>
      </c>
      <c r="J151" s="12">
        <v>7.56</v>
      </c>
      <c r="K151" s="12">
        <v>18.9</v>
      </c>
    </row>
    <row r="152" spans="1:11" ht="12.75">
      <c r="A152" s="4" t="s">
        <v>349</v>
      </c>
      <c r="B152" s="2">
        <v>39975</v>
      </c>
      <c r="C152" s="1"/>
      <c r="F152">
        <v>6231721</v>
      </c>
      <c r="G152">
        <v>665006</v>
      </c>
      <c r="I152" s="14">
        <v>126</v>
      </c>
      <c r="J152" s="12">
        <v>7.76</v>
      </c>
      <c r="K152" s="12">
        <v>19</v>
      </c>
    </row>
    <row r="153" spans="1:11" ht="12.75">
      <c r="A153" s="4" t="s">
        <v>350</v>
      </c>
      <c r="B153" s="2">
        <v>39975</v>
      </c>
      <c r="C153" s="1"/>
      <c r="F153">
        <v>6231695</v>
      </c>
      <c r="G153">
        <v>664995</v>
      </c>
      <c r="I153" s="14">
        <v>127</v>
      </c>
      <c r="J153" s="12">
        <v>7.78</v>
      </c>
      <c r="K153" s="12">
        <v>19.5</v>
      </c>
    </row>
    <row r="154" spans="1:12" ht="12.75">
      <c r="A154" s="4" t="s">
        <v>351</v>
      </c>
      <c r="B154" s="2">
        <v>39975</v>
      </c>
      <c r="C154" s="1"/>
      <c r="F154">
        <v>6231682</v>
      </c>
      <c r="G154">
        <v>664990</v>
      </c>
      <c r="I154" s="14">
        <v>125</v>
      </c>
      <c r="J154" s="12">
        <v>7.81</v>
      </c>
      <c r="K154" s="12">
        <v>19.5</v>
      </c>
      <c r="L154" t="s">
        <v>333</v>
      </c>
    </row>
    <row r="155" spans="1:12" ht="12.75">
      <c r="A155" s="4" t="s">
        <v>352</v>
      </c>
      <c r="B155" s="2">
        <v>39975</v>
      </c>
      <c r="C155" s="1"/>
      <c r="F155">
        <v>6231682</v>
      </c>
      <c r="G155">
        <v>665009</v>
      </c>
      <c r="I155" s="14">
        <v>123</v>
      </c>
      <c r="J155" s="12">
        <v>7.89</v>
      </c>
      <c r="K155" s="12">
        <v>18.9</v>
      </c>
      <c r="L155" t="s">
        <v>334</v>
      </c>
    </row>
    <row r="156" spans="1:12" ht="12.75">
      <c r="A156" s="4" t="s">
        <v>353</v>
      </c>
      <c r="B156" s="2">
        <v>39975</v>
      </c>
      <c r="C156" s="1"/>
      <c r="F156">
        <v>6231688</v>
      </c>
      <c r="G156">
        <v>665011</v>
      </c>
      <c r="I156" s="14">
        <v>83</v>
      </c>
      <c r="J156" s="12">
        <v>7.6</v>
      </c>
      <c r="K156" s="12">
        <v>18.2</v>
      </c>
      <c r="L156" t="s">
        <v>335</v>
      </c>
    </row>
    <row r="157" spans="1:12" ht="12.75">
      <c r="A157" s="4" t="s">
        <v>354</v>
      </c>
      <c r="B157" s="2">
        <v>39975</v>
      </c>
      <c r="C157" s="1"/>
      <c r="F157">
        <v>6231694</v>
      </c>
      <c r="G157">
        <v>665035</v>
      </c>
      <c r="I157" s="14">
        <v>98</v>
      </c>
      <c r="J157" s="12">
        <v>6.66</v>
      </c>
      <c r="K157" s="12">
        <v>17.7</v>
      </c>
      <c r="L157" t="s">
        <v>336</v>
      </c>
    </row>
    <row r="158" spans="1:11" ht="12.75">
      <c r="A158" s="4" t="s">
        <v>355</v>
      </c>
      <c r="B158" s="2">
        <v>39975</v>
      </c>
      <c r="C158" s="1"/>
      <c r="F158">
        <v>6231685</v>
      </c>
      <c r="G158">
        <v>664985</v>
      </c>
      <c r="I158" s="14">
        <v>126</v>
      </c>
      <c r="J158" s="12">
        <v>7.68</v>
      </c>
      <c r="K158" s="12">
        <v>19.1</v>
      </c>
    </row>
    <row r="159" spans="1:11" ht="12.75">
      <c r="A159" s="4" t="s">
        <v>356</v>
      </c>
      <c r="B159" s="2">
        <v>39975</v>
      </c>
      <c r="C159" s="1"/>
      <c r="F159">
        <v>6231674</v>
      </c>
      <c r="G159">
        <v>664984</v>
      </c>
      <c r="I159" s="14">
        <v>124</v>
      </c>
      <c r="J159" s="12">
        <v>7.65</v>
      </c>
      <c r="K159" s="12">
        <v>19.7</v>
      </c>
    </row>
    <row r="160" spans="1:12" ht="12.75">
      <c r="A160" s="4" t="s">
        <v>357</v>
      </c>
      <c r="B160" s="2">
        <v>39975</v>
      </c>
      <c r="C160" s="1"/>
      <c r="F160">
        <v>6231627</v>
      </c>
      <c r="G160">
        <v>664968</v>
      </c>
      <c r="I160" s="14">
        <v>126</v>
      </c>
      <c r="J160" s="12">
        <v>7.75</v>
      </c>
      <c r="K160" s="12">
        <v>19.5</v>
      </c>
      <c r="L160" t="s">
        <v>337</v>
      </c>
    </row>
    <row r="161" spans="1:11" ht="12.75">
      <c r="A161" s="4" t="s">
        <v>358</v>
      </c>
      <c r="B161" s="2">
        <v>39975</v>
      </c>
      <c r="C161" s="1"/>
      <c r="F161">
        <v>6231625</v>
      </c>
      <c r="G161">
        <v>664970</v>
      </c>
      <c r="I161" s="14">
        <v>126</v>
      </c>
      <c r="J161" s="12">
        <v>7.69</v>
      </c>
      <c r="K161" s="12">
        <v>19</v>
      </c>
    </row>
    <row r="162" spans="1:11" ht="12.75">
      <c r="A162" s="4" t="s">
        <v>359</v>
      </c>
      <c r="B162" s="2">
        <v>39975</v>
      </c>
      <c r="C162" s="1"/>
      <c r="F162">
        <v>6231585</v>
      </c>
      <c r="G162">
        <v>664936</v>
      </c>
      <c r="I162" s="14">
        <v>127</v>
      </c>
      <c r="J162" s="12">
        <v>7.72</v>
      </c>
      <c r="K162" s="12">
        <v>19</v>
      </c>
    </row>
    <row r="163" spans="1:11" ht="12.75">
      <c r="A163" s="4" t="s">
        <v>360</v>
      </c>
      <c r="B163" s="2">
        <v>39975</v>
      </c>
      <c r="C163" s="1"/>
      <c r="F163">
        <v>6231543</v>
      </c>
      <c r="G163">
        <v>664923</v>
      </c>
      <c r="I163" s="14">
        <v>124</v>
      </c>
      <c r="J163" s="12">
        <v>7.68</v>
      </c>
      <c r="K163" s="12">
        <v>19.7</v>
      </c>
    </row>
    <row r="164" spans="1:12" ht="12.75">
      <c r="A164" s="4" t="s">
        <v>361</v>
      </c>
      <c r="B164" s="2">
        <v>39975</v>
      </c>
      <c r="C164" s="1"/>
      <c r="F164">
        <v>6231539</v>
      </c>
      <c r="G164">
        <v>664903</v>
      </c>
      <c r="I164" s="14">
        <v>126</v>
      </c>
      <c r="J164" s="12">
        <v>7.79</v>
      </c>
      <c r="K164" s="12">
        <v>19.2</v>
      </c>
      <c r="L164" t="s">
        <v>338</v>
      </c>
    </row>
    <row r="165" spans="1:12" ht="12.75">
      <c r="A165" s="4" t="s">
        <v>362</v>
      </c>
      <c r="B165" s="2">
        <v>39975</v>
      </c>
      <c r="C165" s="1"/>
      <c r="F165">
        <v>6231539</v>
      </c>
      <c r="G165">
        <v>664903</v>
      </c>
      <c r="I165" s="14">
        <v>125</v>
      </c>
      <c r="J165" s="12">
        <v>7.64</v>
      </c>
      <c r="K165" s="12">
        <v>19.4</v>
      </c>
      <c r="L165" t="s">
        <v>339</v>
      </c>
    </row>
    <row r="166" spans="1:12" ht="12.75">
      <c r="A166" s="4" t="s">
        <v>363</v>
      </c>
      <c r="B166" s="2">
        <v>39975</v>
      </c>
      <c r="C166" s="1"/>
      <c r="F166">
        <v>6231521</v>
      </c>
      <c r="G166">
        <v>664908</v>
      </c>
      <c r="I166" s="14">
        <v>125</v>
      </c>
      <c r="J166" s="12">
        <v>7.68</v>
      </c>
      <c r="K166" s="12">
        <v>19.6</v>
      </c>
      <c r="L166" t="s">
        <v>340</v>
      </c>
    </row>
    <row r="167" spans="1:12" ht="12.75">
      <c r="A167" s="4" t="s">
        <v>364</v>
      </c>
      <c r="B167" s="2">
        <v>39975</v>
      </c>
      <c r="C167" s="1"/>
      <c r="F167">
        <v>6231521</v>
      </c>
      <c r="G167">
        <v>664908</v>
      </c>
      <c r="I167" s="14">
        <v>127</v>
      </c>
      <c r="J167" s="12">
        <v>7.67</v>
      </c>
      <c r="K167" s="12">
        <v>19.6</v>
      </c>
      <c r="L167" t="s">
        <v>339</v>
      </c>
    </row>
    <row r="168" spans="1:12" ht="12.75">
      <c r="A168" s="4" t="s">
        <v>365</v>
      </c>
      <c r="B168" s="2">
        <v>39975</v>
      </c>
      <c r="C168" s="1"/>
      <c r="F168">
        <v>6231534</v>
      </c>
      <c r="G168">
        <v>664898</v>
      </c>
      <c r="I168" s="14">
        <v>124</v>
      </c>
      <c r="J168" s="12">
        <v>7.6</v>
      </c>
      <c r="K168" s="12">
        <v>18.9</v>
      </c>
      <c r="L168" t="s">
        <v>341</v>
      </c>
    </row>
    <row r="169" spans="1:11" ht="12.75">
      <c r="A169" s="4" t="s">
        <v>366</v>
      </c>
      <c r="B169" s="2">
        <v>39975</v>
      </c>
      <c r="C169" s="1"/>
      <c r="F169">
        <v>6231552</v>
      </c>
      <c r="G169">
        <v>664882</v>
      </c>
      <c r="I169" s="14">
        <v>125</v>
      </c>
      <c r="J169" s="12">
        <v>7.6</v>
      </c>
      <c r="K169" s="12">
        <v>19.7</v>
      </c>
    </row>
    <row r="170" spans="1:11" ht="12.75">
      <c r="A170" s="4" t="s">
        <v>367</v>
      </c>
      <c r="B170" s="2">
        <v>39975</v>
      </c>
      <c r="C170" s="1"/>
      <c r="F170">
        <v>6231493</v>
      </c>
      <c r="G170">
        <v>664857</v>
      </c>
      <c r="I170" s="14">
        <v>127</v>
      </c>
      <c r="J170" s="12">
        <v>7.46</v>
      </c>
      <c r="K170" s="12">
        <v>19.9</v>
      </c>
    </row>
    <row r="171" spans="1:11" ht="12.75">
      <c r="A171" s="4" t="s">
        <v>368</v>
      </c>
      <c r="B171" s="2">
        <v>39975</v>
      </c>
      <c r="C171" s="1"/>
      <c r="F171">
        <v>6231437</v>
      </c>
      <c r="G171">
        <v>664895</v>
      </c>
      <c r="I171" s="14">
        <v>127</v>
      </c>
      <c r="J171" s="12">
        <v>7.58</v>
      </c>
      <c r="K171" s="12">
        <v>20</v>
      </c>
    </row>
    <row r="172" spans="1:11" ht="12.75">
      <c r="A172" s="4" t="s">
        <v>369</v>
      </c>
      <c r="B172" s="2">
        <v>39975</v>
      </c>
      <c r="C172" s="1"/>
      <c r="F172">
        <v>6231407</v>
      </c>
      <c r="G172">
        <v>664892</v>
      </c>
      <c r="I172" s="14">
        <v>127</v>
      </c>
      <c r="J172" s="12">
        <v>7.57</v>
      </c>
      <c r="K172" s="12">
        <v>18.8</v>
      </c>
    </row>
    <row r="173" spans="1:11" ht="12.75">
      <c r="A173" s="4" t="s">
        <v>370</v>
      </c>
      <c r="B173" s="2">
        <v>39975</v>
      </c>
      <c r="C173" s="1"/>
      <c r="F173">
        <v>6231290</v>
      </c>
      <c r="G173">
        <v>664952</v>
      </c>
      <c r="I173" s="14">
        <v>119</v>
      </c>
      <c r="J173" s="12">
        <v>6.75</v>
      </c>
      <c r="K173" s="12">
        <v>21.8</v>
      </c>
    </row>
    <row r="174" spans="1:11" ht="12.75">
      <c r="A174" s="4" t="s">
        <v>371</v>
      </c>
      <c r="B174" s="2">
        <v>39975</v>
      </c>
      <c r="C174" s="1"/>
      <c r="F174">
        <v>6231024</v>
      </c>
      <c r="G174">
        <v>665147</v>
      </c>
      <c r="I174" s="14">
        <v>334</v>
      </c>
      <c r="J174" s="12">
        <v>8.01</v>
      </c>
      <c r="K174" s="12">
        <v>25</v>
      </c>
    </row>
    <row r="175" spans="1:11" ht="12.75">
      <c r="A175" s="4" t="s">
        <v>372</v>
      </c>
      <c r="B175" s="2">
        <v>39975</v>
      </c>
      <c r="C175" s="1"/>
      <c r="F175">
        <v>6230708</v>
      </c>
      <c r="G175">
        <v>665122</v>
      </c>
      <c r="I175" s="14">
        <v>130</v>
      </c>
      <c r="J175" s="12">
        <v>7.5</v>
      </c>
      <c r="K175" s="12">
        <v>23</v>
      </c>
    </row>
    <row r="176" spans="3:11" ht="12.75">
      <c r="C176" s="1"/>
      <c r="J176" s="12"/>
      <c r="K176" s="12"/>
    </row>
    <row r="177" spans="1:11" ht="12.75">
      <c r="A177" s="4" t="s">
        <v>346</v>
      </c>
      <c r="B177" s="2">
        <v>39975</v>
      </c>
      <c r="C177" s="1"/>
      <c r="F177">
        <v>6231909</v>
      </c>
      <c r="G177">
        <v>670204</v>
      </c>
      <c r="I177" s="14">
        <v>300</v>
      </c>
      <c r="J177" s="12">
        <v>8.1</v>
      </c>
      <c r="K177" s="12">
        <v>17.7</v>
      </c>
    </row>
    <row r="178" spans="3:11" ht="12.75">
      <c r="C178" s="1"/>
      <c r="J178" s="12"/>
      <c r="K178" s="12"/>
    </row>
    <row r="179" spans="3:11" ht="12.75">
      <c r="C179" s="1"/>
      <c r="I179" s="12"/>
      <c r="J179" s="12"/>
      <c r="K179" s="12"/>
    </row>
    <row r="180" spans="3:11" ht="12.75">
      <c r="C180" s="1"/>
      <c r="I180" s="12"/>
      <c r="J180" s="12"/>
      <c r="K180" s="12"/>
    </row>
    <row r="181" spans="3:11" ht="12.75">
      <c r="C181" s="1"/>
      <c r="I181" s="12"/>
      <c r="J181" s="12"/>
      <c r="K181" s="14"/>
    </row>
    <row r="182" spans="3:11" ht="12.75">
      <c r="C182" s="1"/>
      <c r="I182" s="12"/>
      <c r="J182" s="12"/>
      <c r="K182" s="14"/>
    </row>
    <row r="183" spans="3:10" ht="12.75">
      <c r="C183" s="1"/>
      <c r="I183" s="12"/>
      <c r="J183" s="12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5" customHeight="1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spans="1:11" ht="12.75">
      <c r="A226" s="23"/>
      <c r="C226" s="1"/>
      <c r="J226" s="14"/>
      <c r="K226" s="14"/>
    </row>
    <row r="227" spans="1:11" ht="12.75">
      <c r="A227" s="23"/>
      <c r="C227" s="1"/>
      <c r="J227" s="14"/>
      <c r="K227" s="14"/>
    </row>
    <row r="228" spans="3:11" ht="12.75">
      <c r="C228" s="1"/>
      <c r="J228" s="14"/>
      <c r="K228" s="14"/>
    </row>
    <row r="229" spans="3:11" ht="12.75">
      <c r="C229" s="1"/>
      <c r="J229" s="14"/>
      <c r="K229" s="14"/>
    </row>
    <row r="230" spans="3:11" ht="12.75">
      <c r="C230" s="1"/>
      <c r="J230" s="14"/>
      <c r="K230" s="14"/>
    </row>
    <row r="231" spans="3:11" ht="12.75">
      <c r="C231" s="1"/>
      <c r="J231" s="14"/>
      <c r="K231" s="14"/>
    </row>
    <row r="232" spans="3:11" ht="12.75">
      <c r="C232" s="1"/>
      <c r="J232" s="14"/>
      <c r="K232" s="14"/>
    </row>
    <row r="233" spans="3:11" ht="12.75">
      <c r="C233" s="1"/>
      <c r="J233" s="14"/>
      <c r="K233" s="14"/>
    </row>
    <row r="234" spans="3:11" ht="12.75">
      <c r="C234" s="1"/>
      <c r="J234" s="14"/>
      <c r="K234" s="14"/>
    </row>
    <row r="235" spans="3:11" ht="12.75">
      <c r="C235" s="1"/>
      <c r="J235" s="14"/>
      <c r="K235" s="14"/>
    </row>
    <row r="236" spans="3:11" ht="12.75">
      <c r="C236" s="1"/>
      <c r="J236" s="14"/>
      <c r="K236" s="14"/>
    </row>
    <row r="237" spans="3:11" ht="12.75">
      <c r="C237" s="1"/>
      <c r="J237" s="14"/>
      <c r="K237" s="14"/>
    </row>
    <row r="238" spans="3:11" ht="12.75">
      <c r="C238" s="1"/>
      <c r="J238" s="14"/>
      <c r="K238" s="14"/>
    </row>
    <row r="239" spans="3:11" ht="12.75">
      <c r="C239" s="1"/>
      <c r="J239" s="14"/>
      <c r="K239" s="14"/>
    </row>
    <row r="240" spans="3:11" ht="12.75">
      <c r="C240" s="1"/>
      <c r="J240" s="14"/>
      <c r="K240" s="14"/>
    </row>
    <row r="241" spans="3:11" ht="12.75">
      <c r="C241" s="1"/>
      <c r="J241" s="14"/>
      <c r="K241" s="14"/>
    </row>
    <row r="242" spans="3:11" ht="12.75">
      <c r="C242" s="1"/>
      <c r="J242" s="14"/>
      <c r="K242" s="14"/>
    </row>
    <row r="243" spans="3:11" ht="12.75">
      <c r="C243" s="1"/>
      <c r="J243" s="14"/>
      <c r="K243" s="14"/>
    </row>
    <row r="244" spans="3:11" ht="12.75">
      <c r="C244" s="1"/>
      <c r="J244" s="14"/>
      <c r="K244" s="14"/>
    </row>
    <row r="245" spans="3:11" ht="12.75">
      <c r="C245" s="1"/>
      <c r="J245" s="14"/>
      <c r="K245" s="14"/>
    </row>
    <row r="246" spans="3:11" ht="12.75">
      <c r="C246" s="1"/>
      <c r="J246" s="14"/>
      <c r="K246" s="14"/>
    </row>
    <row r="247" spans="3:11" ht="12.75">
      <c r="C247" s="1"/>
      <c r="J247" s="14"/>
      <c r="K247" s="14"/>
    </row>
    <row r="248" spans="3:11" ht="12.75">
      <c r="C248" s="1"/>
      <c r="J248" s="14"/>
      <c r="K248" s="14"/>
    </row>
    <row r="249" spans="3:11" ht="12.75">
      <c r="C249" s="1"/>
      <c r="J249" s="14"/>
      <c r="K249" s="14"/>
    </row>
    <row r="250" spans="3:11" ht="12.75">
      <c r="C250" s="1"/>
      <c r="J250" s="14"/>
      <c r="K250" s="14"/>
    </row>
    <row r="251" spans="3:11" ht="12.75">
      <c r="C251" s="1"/>
      <c r="J251" s="14"/>
      <c r="K251" s="14"/>
    </row>
    <row r="252" spans="3:12" ht="12.75">
      <c r="C252" s="1"/>
      <c r="J252" s="14"/>
      <c r="K252" s="14"/>
      <c r="L252" s="22"/>
    </row>
    <row r="253" spans="3:11" ht="12.75">
      <c r="C253" s="1"/>
      <c r="J253" s="14"/>
      <c r="K253" s="14"/>
    </row>
    <row r="254" spans="3:11" ht="12.75">
      <c r="C254" s="1"/>
      <c r="J254" s="14"/>
      <c r="K254" s="14"/>
    </row>
    <row r="255" spans="3:11" ht="12.75">
      <c r="C255" s="1"/>
      <c r="J255" s="14"/>
      <c r="K255" s="14"/>
    </row>
    <row r="256" spans="3:11" ht="12.75">
      <c r="C256" s="1"/>
      <c r="J256" s="14"/>
      <c r="K256" s="14"/>
    </row>
    <row r="257" spans="3:11" ht="12.75">
      <c r="C257" s="1"/>
      <c r="J257" s="14"/>
      <c r="K257" s="14"/>
    </row>
    <row r="258" spans="3:11" ht="12.75">
      <c r="C258" s="1"/>
      <c r="J258" s="14"/>
      <c r="K258" s="14"/>
    </row>
    <row r="259" spans="3:11" ht="12.75">
      <c r="C259" s="1"/>
      <c r="J259" s="14"/>
      <c r="K259" s="14"/>
    </row>
    <row r="260" spans="3:11" ht="12.75">
      <c r="C260" s="1"/>
      <c r="J260" s="14"/>
      <c r="K260" s="14"/>
    </row>
    <row r="261" spans="3:11" ht="12.75">
      <c r="C261" s="1"/>
      <c r="J261" s="14"/>
      <c r="K261" s="14"/>
    </row>
    <row r="262" spans="3:11" ht="12.75">
      <c r="C262" s="1"/>
      <c r="J262" s="14"/>
      <c r="K262" s="14"/>
    </row>
    <row r="263" spans="3:11" ht="12.75">
      <c r="C263" s="1"/>
      <c r="J263" s="14"/>
      <c r="K263" s="14"/>
    </row>
    <row r="264" spans="3:11" ht="12.75">
      <c r="C264" s="1"/>
      <c r="J264" s="14"/>
      <c r="K264" s="14"/>
    </row>
    <row r="265" spans="3:11" ht="12.75">
      <c r="C265" s="1"/>
      <c r="J265" s="14"/>
      <c r="K265" s="14"/>
    </row>
    <row r="266" spans="3:11" ht="12.75">
      <c r="C266" s="1"/>
      <c r="J266" s="14"/>
      <c r="K266" s="14"/>
    </row>
    <row r="267" spans="3:11" ht="12.75">
      <c r="C267" s="1"/>
      <c r="J267" s="14"/>
      <c r="K267" s="14"/>
    </row>
    <row r="268" spans="3:11" ht="12.75">
      <c r="C268" s="1"/>
      <c r="J268" s="14"/>
      <c r="K268" s="14"/>
    </row>
    <row r="269" spans="3:11" ht="12.75">
      <c r="C269" s="1"/>
      <c r="J269" s="14"/>
      <c r="K269" s="14"/>
    </row>
    <row r="270" spans="3:11" ht="12.75">
      <c r="C270" s="1"/>
      <c r="J270" s="14"/>
      <c r="K270" s="14"/>
    </row>
    <row r="271" spans="3:11" ht="12.75">
      <c r="C271" s="1"/>
      <c r="J271" s="14"/>
      <c r="K271" s="14"/>
    </row>
    <row r="272" spans="3:11" ht="12.75">
      <c r="C272" s="1"/>
      <c r="J272" s="14"/>
      <c r="K272" s="14"/>
    </row>
    <row r="273" spans="3:12" ht="12.75">
      <c r="C273" s="1"/>
      <c r="J273" s="14"/>
      <c r="K273" s="14"/>
      <c r="L273" s="17"/>
    </row>
    <row r="274" spans="3:12" ht="12.75">
      <c r="C274" s="1"/>
      <c r="J274" s="14"/>
      <c r="K274" s="14"/>
      <c r="L274" s="22"/>
    </row>
    <row r="275" spans="3:12" ht="12.75">
      <c r="C275" s="1"/>
      <c r="J275" s="14"/>
      <c r="K275" s="14"/>
      <c r="L275" s="17"/>
    </row>
    <row r="276" spans="3:12" ht="12.75">
      <c r="C276" s="1"/>
      <c r="J276" s="14"/>
      <c r="K276" s="14"/>
      <c r="L276" s="17"/>
    </row>
    <row r="277" spans="3:12" ht="12.75">
      <c r="C277" s="1"/>
      <c r="J277" s="14"/>
      <c r="K277" s="14"/>
      <c r="L277" s="17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spans="3:11" ht="12.75">
      <c r="C282" s="1"/>
      <c r="J282" s="14"/>
      <c r="K282" s="14"/>
    </row>
    <row r="283" spans="3:11" ht="12.75">
      <c r="C283" s="1"/>
      <c r="J283" s="14"/>
      <c r="K283" s="14"/>
    </row>
    <row r="284" spans="3:11" ht="12.75">
      <c r="C284" s="1"/>
      <c r="J284" s="14"/>
      <c r="K284" s="14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4" ht="12.75">
      <c r="D294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1" ht="12.75">
      <c r="D401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6" ht="12.75">
      <c r="D486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5" ht="12.75">
      <c r="D535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7" ht="12.75">
      <c r="D547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2" ht="12.75">
      <c r="D572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3" ht="12.75">
      <c r="D583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5" ht="12.75">
      <c r="D635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1" ht="12.75">
      <c r="D741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50" ht="12.75">
      <c r="D750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60" ht="12.75">
      <c r="D760" s="3"/>
    </row>
    <row r="764" ht="12.75">
      <c r="D764" s="3"/>
    </row>
    <row r="766" ht="12.75">
      <c r="D766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800" ht="12.75">
      <c r="D800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8" ht="12.75">
      <c r="D828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3" ht="12.75">
      <c r="D853" s="3"/>
    </row>
    <row r="857" ht="12.75">
      <c r="D857" s="3"/>
    </row>
    <row r="858" ht="12.75">
      <c r="D858" s="3"/>
    </row>
    <row r="860" ht="12.75">
      <c r="D860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3" ht="12.75">
      <c r="D883" s="3"/>
    </row>
    <row r="887" ht="12.75">
      <c r="D887" s="3"/>
    </row>
    <row r="888" ht="12.75">
      <c r="D888" s="3"/>
    </row>
    <row r="889" ht="12.75">
      <c r="D889" s="3"/>
    </row>
    <row r="891" ht="12.75">
      <c r="D891" s="3"/>
    </row>
    <row r="895" ht="12.75">
      <c r="D895" s="3"/>
    </row>
    <row r="897" ht="12.75">
      <c r="D897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9" ht="12.75">
      <c r="D909" s="3"/>
    </row>
    <row r="913" ht="12.75">
      <c r="D913" s="3"/>
    </row>
    <row r="914" ht="12.75">
      <c r="D914" s="3"/>
    </row>
    <row r="916" ht="12.75">
      <c r="D916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7" ht="12.75">
      <c r="D927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2" ht="12.75">
      <c r="D942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7" ht="12.75">
      <c r="D957" s="3"/>
    </row>
    <row r="961" ht="12.75">
      <c r="D961" s="3"/>
    </row>
    <row r="962" ht="12.75">
      <c r="D962" s="3"/>
    </row>
    <row r="963" ht="12.75">
      <c r="D963" s="3"/>
    </row>
    <row r="965" ht="12.75">
      <c r="D965" s="3"/>
    </row>
    <row r="969" ht="12.75">
      <c r="D969" s="3"/>
    </row>
    <row r="970" ht="12.75">
      <c r="D970" s="3"/>
    </row>
    <row r="972" ht="12.75">
      <c r="D972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6" ht="12.75">
      <c r="D1016" s="3"/>
    </row>
    <row r="1020" ht="12.75">
      <c r="D1020" s="3"/>
    </row>
    <row r="1021" ht="12.75">
      <c r="D1021" s="3"/>
    </row>
    <row r="1022" ht="12.75">
      <c r="D1022" s="3"/>
    </row>
    <row r="1024" ht="12.75">
      <c r="D1024" s="3"/>
    </row>
    <row r="1028" ht="12.75">
      <c r="D1028" s="3"/>
    </row>
    <row r="1029" ht="12.75">
      <c r="D1029" s="3"/>
    </row>
    <row r="1030" ht="12.75">
      <c r="D1030" s="3"/>
    </row>
    <row r="1032" ht="12.75">
      <c r="D1032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4" ht="12.75">
      <c r="D1134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201"/>
  <sheetViews>
    <sheetView zoomScale="75" zoomScaleNormal="75" workbookViewId="0" topLeftCell="A4">
      <pane ySplit="1" topLeftCell="BM114" activePane="bottomLeft" state="frozen"/>
      <selection pane="topLeft" activeCell="A4" sqref="A4"/>
      <selection pane="bottomLeft" activeCell="H133" sqref="H133"/>
    </sheetView>
  </sheetViews>
  <sheetFormatPr defaultColWidth="9.00390625" defaultRowHeight="12.75"/>
  <cols>
    <col min="1" max="1" width="9.25390625" style="0" bestFit="1" customWidth="1"/>
    <col min="2" max="2" width="11.625" style="0" bestFit="1" customWidth="1"/>
    <col min="3" max="3" width="9.25390625" style="0" bestFit="1" customWidth="1"/>
    <col min="4" max="5" width="3.625" style="0" customWidth="1"/>
    <col min="6" max="7" width="10.125" style="0" customWidth="1"/>
    <col min="8" max="8" width="12.00390625" style="0" customWidth="1"/>
    <col min="9" max="9" width="10.125" style="0" customWidth="1"/>
    <col min="10" max="10" width="6.00390625" style="0" customWidth="1"/>
    <col min="11" max="11" width="6.625" style="14" customWidth="1"/>
    <col min="12" max="12" width="5.375" style="0" customWidth="1"/>
    <col min="13" max="13" width="6.625" style="0" customWidth="1"/>
    <col min="14" max="14" width="51.00390625" style="0" customWidth="1"/>
  </cols>
  <sheetData>
    <row r="4" spans="1:15" ht="12.75">
      <c r="A4" t="s">
        <v>0</v>
      </c>
      <c r="B4" t="s">
        <v>1</v>
      </c>
      <c r="C4" s="1" t="s">
        <v>2</v>
      </c>
      <c r="F4" t="s">
        <v>4</v>
      </c>
      <c r="G4" t="s">
        <v>3</v>
      </c>
      <c r="H4" t="s">
        <v>386</v>
      </c>
      <c r="I4" t="s">
        <v>387</v>
      </c>
      <c r="J4" t="s">
        <v>5</v>
      </c>
      <c r="K4" s="14" t="s">
        <v>6</v>
      </c>
      <c r="L4" t="s">
        <v>7</v>
      </c>
      <c r="M4" t="s">
        <v>32</v>
      </c>
      <c r="N4" t="s">
        <v>23</v>
      </c>
      <c r="O4" t="s">
        <v>111</v>
      </c>
    </row>
    <row r="5" spans="1:14" ht="12.75">
      <c r="A5" s="4" t="s">
        <v>30</v>
      </c>
      <c r="B5" s="2">
        <v>39972</v>
      </c>
      <c r="C5" s="1"/>
      <c r="F5">
        <v>6230783</v>
      </c>
      <c r="G5">
        <v>666286</v>
      </c>
      <c r="H5">
        <v>56.19292</v>
      </c>
      <c r="I5">
        <v>29.67995</v>
      </c>
      <c r="K5" s="14">
        <v>18</v>
      </c>
      <c r="L5" s="14">
        <v>8.09</v>
      </c>
      <c r="M5" s="14">
        <v>13.2</v>
      </c>
      <c r="N5" t="s">
        <v>31</v>
      </c>
    </row>
    <row r="6" spans="1:14" ht="12.75">
      <c r="A6" s="4" t="s">
        <v>37</v>
      </c>
      <c r="B6" s="2">
        <v>39972</v>
      </c>
      <c r="C6" s="1"/>
      <c r="F6">
        <v>6230840</v>
      </c>
      <c r="G6">
        <v>665840</v>
      </c>
      <c r="H6">
        <v>56.19373</v>
      </c>
      <c r="I6">
        <v>29.67281</v>
      </c>
      <c r="K6" s="14">
        <v>116</v>
      </c>
      <c r="L6" s="14">
        <v>8.22</v>
      </c>
      <c r="M6" s="14">
        <v>12.6</v>
      </c>
      <c r="N6" t="s">
        <v>68</v>
      </c>
    </row>
    <row r="7" spans="1:14" ht="12.75">
      <c r="A7" s="4" t="s">
        <v>38</v>
      </c>
      <c r="B7" s="2">
        <v>39972</v>
      </c>
      <c r="C7" s="1"/>
      <c r="F7">
        <v>6230948</v>
      </c>
      <c r="G7">
        <v>665687</v>
      </c>
      <c r="H7">
        <v>56.19462</v>
      </c>
      <c r="I7">
        <v>29.67041</v>
      </c>
      <c r="K7" s="14">
        <v>93</v>
      </c>
      <c r="L7" s="14">
        <v>8.68</v>
      </c>
      <c r="M7" s="14">
        <v>13.1</v>
      </c>
      <c r="N7" t="s">
        <v>69</v>
      </c>
    </row>
    <row r="8" spans="1:14" ht="12.75">
      <c r="A8" s="4" t="s">
        <v>39</v>
      </c>
      <c r="B8" s="2">
        <v>39972</v>
      </c>
      <c r="C8" s="1"/>
      <c r="F8">
        <v>6230960</v>
      </c>
      <c r="G8">
        <v>665621</v>
      </c>
      <c r="H8">
        <v>56.19474</v>
      </c>
      <c r="I8">
        <v>29.66935</v>
      </c>
      <c r="K8" s="14">
        <v>99</v>
      </c>
      <c r="L8" s="14">
        <v>8.68</v>
      </c>
      <c r="M8" s="14">
        <v>13.4</v>
      </c>
      <c r="N8" t="s">
        <v>70</v>
      </c>
    </row>
    <row r="9" spans="1:14" ht="12.75">
      <c r="A9" s="4" t="s">
        <v>40</v>
      </c>
      <c r="B9" s="2">
        <v>39972</v>
      </c>
      <c r="C9" s="1"/>
      <c r="F9">
        <v>6230846</v>
      </c>
      <c r="G9">
        <v>665503</v>
      </c>
      <c r="H9">
        <v>56.19376</v>
      </c>
      <c r="I9">
        <v>29.66742</v>
      </c>
      <c r="K9" s="14">
        <v>166</v>
      </c>
      <c r="L9" s="14">
        <v>7.57</v>
      </c>
      <c r="M9" s="14">
        <v>14</v>
      </c>
      <c r="N9" t="s">
        <v>71</v>
      </c>
    </row>
    <row r="10" spans="1:14" ht="12.75">
      <c r="A10" s="4" t="s">
        <v>41</v>
      </c>
      <c r="B10" s="2">
        <v>39972</v>
      </c>
      <c r="C10" s="1"/>
      <c r="F10">
        <v>6230828</v>
      </c>
      <c r="G10">
        <v>665495</v>
      </c>
      <c r="H10">
        <v>56.19359</v>
      </c>
      <c r="I10">
        <v>29.66725</v>
      </c>
      <c r="K10" s="14">
        <v>87</v>
      </c>
      <c r="L10" s="14">
        <v>8.74</v>
      </c>
      <c r="M10" s="14">
        <v>13.2</v>
      </c>
      <c r="N10" t="s">
        <v>96</v>
      </c>
    </row>
    <row r="11" spans="1:14" ht="12.75">
      <c r="A11" s="4" t="s">
        <v>42</v>
      </c>
      <c r="B11" s="2">
        <v>39972</v>
      </c>
      <c r="C11" s="1"/>
      <c r="F11">
        <v>6230711</v>
      </c>
      <c r="G11">
        <v>665123</v>
      </c>
      <c r="H11">
        <v>56.19267</v>
      </c>
      <c r="I11">
        <v>29.66118</v>
      </c>
      <c r="K11" s="14">
        <v>133</v>
      </c>
      <c r="L11" s="14">
        <v>8.88</v>
      </c>
      <c r="M11" s="14">
        <v>11.6</v>
      </c>
      <c r="N11" t="s">
        <v>72</v>
      </c>
    </row>
    <row r="12" spans="1:14" ht="12.75">
      <c r="A12" s="4" t="s">
        <v>43</v>
      </c>
      <c r="B12" s="2">
        <v>39972</v>
      </c>
      <c r="C12" s="1"/>
      <c r="F12">
        <v>6231049</v>
      </c>
      <c r="G12">
        <v>664767</v>
      </c>
      <c r="H12">
        <v>56.19583</v>
      </c>
      <c r="I12">
        <v>29.65567</v>
      </c>
      <c r="K12" s="14">
        <v>14</v>
      </c>
      <c r="L12" s="14">
        <v>8.26</v>
      </c>
      <c r="M12" s="14">
        <v>11.5</v>
      </c>
      <c r="N12" t="s">
        <v>97</v>
      </c>
    </row>
    <row r="13" spans="1:14" ht="12.75">
      <c r="A13" s="4" t="s">
        <v>44</v>
      </c>
      <c r="B13" s="2">
        <v>39972</v>
      </c>
      <c r="C13" s="1"/>
      <c r="F13">
        <v>6231268</v>
      </c>
      <c r="G13">
        <v>664572</v>
      </c>
      <c r="H13">
        <v>56.19786</v>
      </c>
      <c r="I13">
        <v>29.65264</v>
      </c>
      <c r="K13" s="16">
        <v>10</v>
      </c>
      <c r="L13" s="14">
        <v>8.9</v>
      </c>
      <c r="M13" s="14">
        <v>11.2</v>
      </c>
      <c r="N13" t="s">
        <v>73</v>
      </c>
    </row>
    <row r="14" spans="1:14" ht="12.75">
      <c r="A14" s="4" t="s">
        <v>45</v>
      </c>
      <c r="B14" s="2">
        <v>39972</v>
      </c>
      <c r="C14" s="1"/>
      <c r="F14">
        <v>6231640</v>
      </c>
      <c r="G14">
        <v>664263</v>
      </c>
      <c r="H14">
        <v>56.2013</v>
      </c>
      <c r="I14">
        <v>29.64791</v>
      </c>
      <c r="K14" s="16">
        <v>54</v>
      </c>
      <c r="L14" s="14">
        <v>7.2</v>
      </c>
      <c r="M14" s="14">
        <v>10.5</v>
      </c>
      <c r="N14" t="s">
        <v>74</v>
      </c>
    </row>
    <row r="15" spans="1:14" ht="12.75">
      <c r="A15" s="4" t="s">
        <v>46</v>
      </c>
      <c r="B15" s="2">
        <v>39972</v>
      </c>
      <c r="C15" s="1"/>
      <c r="F15">
        <v>6231891</v>
      </c>
      <c r="G15">
        <v>664043</v>
      </c>
      <c r="H15">
        <v>56.20364</v>
      </c>
      <c r="I15">
        <v>29.64452</v>
      </c>
      <c r="K15" s="14">
        <v>50</v>
      </c>
      <c r="L15" s="14">
        <v>6.77</v>
      </c>
      <c r="M15" s="14">
        <v>10.7</v>
      </c>
      <c r="N15" t="s">
        <v>74</v>
      </c>
    </row>
    <row r="16" spans="1:14" ht="12.75">
      <c r="A16" s="4" t="s">
        <v>47</v>
      </c>
      <c r="B16" s="2">
        <v>39972</v>
      </c>
      <c r="C16" s="1"/>
      <c r="F16">
        <v>6231673</v>
      </c>
      <c r="G16">
        <v>663739</v>
      </c>
      <c r="H16">
        <v>56.21075</v>
      </c>
      <c r="I16">
        <v>29.64012</v>
      </c>
      <c r="K16" s="14">
        <v>39</v>
      </c>
      <c r="L16" s="14">
        <v>4.34</v>
      </c>
      <c r="M16" s="14">
        <v>10.3</v>
      </c>
      <c r="N16" t="s">
        <v>75</v>
      </c>
    </row>
    <row r="17" spans="1:14" ht="12.75">
      <c r="A17" s="4" t="s">
        <v>48</v>
      </c>
      <c r="B17" s="2">
        <v>39972</v>
      </c>
      <c r="C17" s="1"/>
      <c r="F17">
        <v>6231013</v>
      </c>
      <c r="G17">
        <v>665899</v>
      </c>
      <c r="H17">
        <v>56.19511</v>
      </c>
      <c r="I17">
        <v>29.67386</v>
      </c>
      <c r="K17" s="14">
        <v>80</v>
      </c>
      <c r="L17" s="14">
        <v>7.96</v>
      </c>
      <c r="M17" s="14">
        <v>16.8</v>
      </c>
      <c r="N17" t="s">
        <v>76</v>
      </c>
    </row>
    <row r="18" spans="1:14" ht="12.75">
      <c r="A18" s="4" t="s">
        <v>49</v>
      </c>
      <c r="B18" s="2">
        <v>39972</v>
      </c>
      <c r="C18" s="1"/>
      <c r="F18" s="32" t="s">
        <v>67</v>
      </c>
      <c r="G18">
        <v>665870</v>
      </c>
      <c r="H18">
        <v>56.19641</v>
      </c>
      <c r="I18">
        <v>29.67349</v>
      </c>
      <c r="K18" s="14">
        <v>100</v>
      </c>
      <c r="L18" s="14">
        <v>8.18</v>
      </c>
      <c r="M18" s="14">
        <v>15.8</v>
      </c>
      <c r="N18" t="s">
        <v>77</v>
      </c>
    </row>
    <row r="19" spans="1:14" ht="12.75">
      <c r="A19" s="4" t="s">
        <v>50</v>
      </c>
      <c r="B19" s="2">
        <v>39972</v>
      </c>
      <c r="C19" s="1"/>
      <c r="F19">
        <v>6231699</v>
      </c>
      <c r="G19">
        <v>666311</v>
      </c>
      <c r="H19">
        <v>56.20113</v>
      </c>
      <c r="I19">
        <v>29.68092</v>
      </c>
      <c r="K19" s="14">
        <v>121</v>
      </c>
      <c r="L19" s="14">
        <v>7.65</v>
      </c>
      <c r="M19" s="14">
        <v>15.1</v>
      </c>
      <c r="N19" t="s">
        <v>82</v>
      </c>
    </row>
    <row r="20" spans="1:14" ht="12.75">
      <c r="A20" s="4" t="s">
        <v>51</v>
      </c>
      <c r="B20" s="2">
        <v>39972</v>
      </c>
      <c r="C20" s="1"/>
      <c r="F20">
        <v>6231819</v>
      </c>
      <c r="G20">
        <v>666478</v>
      </c>
      <c r="H20">
        <v>56.20215</v>
      </c>
      <c r="I20">
        <v>29.68369</v>
      </c>
      <c r="K20" s="14">
        <v>113</v>
      </c>
      <c r="L20" s="14">
        <v>8.36</v>
      </c>
      <c r="M20" s="14">
        <v>16.7</v>
      </c>
      <c r="N20" t="s">
        <v>78</v>
      </c>
    </row>
    <row r="21" spans="1:14" ht="12.75">
      <c r="A21" s="4" t="s">
        <v>52</v>
      </c>
      <c r="B21" s="2">
        <v>39972</v>
      </c>
      <c r="C21" s="1"/>
      <c r="F21">
        <v>6231855</v>
      </c>
      <c r="G21">
        <v>666535</v>
      </c>
      <c r="H21">
        <v>56.20244</v>
      </c>
      <c r="I21">
        <v>29.68463</v>
      </c>
      <c r="K21" s="14">
        <v>503</v>
      </c>
      <c r="L21" s="14">
        <v>7.03</v>
      </c>
      <c r="M21" s="14">
        <v>13.4</v>
      </c>
      <c r="N21" t="s">
        <v>79</v>
      </c>
    </row>
    <row r="22" spans="1:14" ht="12.75">
      <c r="A22" s="4" t="s">
        <v>53</v>
      </c>
      <c r="B22" s="2">
        <v>39972</v>
      </c>
      <c r="C22" s="1"/>
      <c r="F22">
        <v>6231839</v>
      </c>
      <c r="G22">
        <v>666566</v>
      </c>
      <c r="H22">
        <v>56.20229</v>
      </c>
      <c r="I22">
        <v>29.68496</v>
      </c>
      <c r="K22" s="14">
        <v>127</v>
      </c>
      <c r="L22" s="14">
        <v>8.57</v>
      </c>
      <c r="M22" s="14">
        <v>17.8</v>
      </c>
      <c r="N22" t="s">
        <v>80</v>
      </c>
    </row>
    <row r="23" spans="1:14" ht="12.75">
      <c r="A23" s="4" t="s">
        <v>54</v>
      </c>
      <c r="B23" s="2">
        <v>39972</v>
      </c>
      <c r="C23" s="1"/>
      <c r="F23">
        <v>6231834</v>
      </c>
      <c r="G23">
        <v>666732</v>
      </c>
      <c r="H23">
        <v>56.20223</v>
      </c>
      <c r="I23">
        <v>29.68782</v>
      </c>
      <c r="K23" s="14">
        <v>279</v>
      </c>
      <c r="L23" s="14">
        <v>8.36</v>
      </c>
      <c r="M23" s="14">
        <v>13.3</v>
      </c>
      <c r="N23" t="s">
        <v>81</v>
      </c>
    </row>
    <row r="24" spans="1:14" ht="12.75">
      <c r="A24" s="4" t="s">
        <v>55</v>
      </c>
      <c r="B24" s="2">
        <v>39972</v>
      </c>
      <c r="C24" s="1"/>
      <c r="F24">
        <v>6231904</v>
      </c>
      <c r="G24">
        <v>666920</v>
      </c>
      <c r="H24">
        <v>56.20275</v>
      </c>
      <c r="I24">
        <v>29.69086</v>
      </c>
      <c r="K24" s="14">
        <v>111</v>
      </c>
      <c r="L24" s="14">
        <v>8.64</v>
      </c>
      <c r="M24" s="14">
        <v>18</v>
      </c>
      <c r="N24" t="s">
        <v>83</v>
      </c>
    </row>
    <row r="25" spans="1:14" ht="12.75">
      <c r="A25" s="4" t="s">
        <v>56</v>
      </c>
      <c r="B25" s="2">
        <v>39972</v>
      </c>
      <c r="C25" s="1"/>
      <c r="F25">
        <v>6231992</v>
      </c>
      <c r="G25">
        <v>667158</v>
      </c>
      <c r="H25">
        <v>56.20346</v>
      </c>
      <c r="I25">
        <v>29.69474</v>
      </c>
      <c r="K25" s="14">
        <v>75</v>
      </c>
      <c r="L25" s="14">
        <v>9.34</v>
      </c>
      <c r="M25" s="14">
        <v>18.6</v>
      </c>
      <c r="N25" t="s">
        <v>84</v>
      </c>
    </row>
    <row r="26" spans="1:14" ht="12.75">
      <c r="A26" s="4" t="s">
        <v>57</v>
      </c>
      <c r="B26" s="2">
        <v>39972</v>
      </c>
      <c r="C26" s="1"/>
      <c r="F26">
        <v>6232127</v>
      </c>
      <c r="G26">
        <v>667274</v>
      </c>
      <c r="H26">
        <v>56.20463</v>
      </c>
      <c r="I26">
        <v>29.6967</v>
      </c>
      <c r="K26" s="14">
        <v>145</v>
      </c>
      <c r="L26" s="14">
        <v>8.8</v>
      </c>
      <c r="M26" s="14">
        <v>17.3</v>
      </c>
      <c r="N26" t="s">
        <v>85</v>
      </c>
    </row>
    <row r="27" spans="1:14" ht="12.75">
      <c r="A27" s="4" t="s">
        <v>57</v>
      </c>
      <c r="B27" s="2">
        <v>39972</v>
      </c>
      <c r="F27">
        <v>6232372</v>
      </c>
      <c r="G27">
        <v>667377</v>
      </c>
      <c r="H27">
        <v>56.20618</v>
      </c>
      <c r="I27">
        <v>29.69847</v>
      </c>
      <c r="K27" s="14">
        <v>275</v>
      </c>
      <c r="L27" s="14">
        <v>7.65</v>
      </c>
      <c r="M27" s="14">
        <v>12.5</v>
      </c>
      <c r="N27" t="s">
        <v>86</v>
      </c>
    </row>
    <row r="28" spans="1:14" ht="12.75">
      <c r="A28" s="4" t="s">
        <v>58</v>
      </c>
      <c r="B28" s="2">
        <v>39972</v>
      </c>
      <c r="C28" s="1"/>
      <c r="F28">
        <v>6231404</v>
      </c>
      <c r="G28">
        <v>667501</v>
      </c>
      <c r="H28">
        <v>56.20675</v>
      </c>
      <c r="I28">
        <v>29.70051</v>
      </c>
      <c r="K28" s="14">
        <v>115</v>
      </c>
      <c r="L28" s="14">
        <v>8.54</v>
      </c>
      <c r="M28" s="14">
        <v>17.2</v>
      </c>
      <c r="N28" t="s">
        <v>87</v>
      </c>
    </row>
    <row r="29" spans="1:14" ht="12.75">
      <c r="A29" s="4" t="s">
        <v>59</v>
      </c>
      <c r="B29" s="2">
        <v>39972</v>
      </c>
      <c r="C29" s="1"/>
      <c r="F29">
        <v>6232407</v>
      </c>
      <c r="G29">
        <v>667547</v>
      </c>
      <c r="H29">
        <v>56.20702</v>
      </c>
      <c r="I29">
        <v>29.70124</v>
      </c>
      <c r="K29" s="14">
        <v>175</v>
      </c>
      <c r="L29" s="14">
        <v>7.66</v>
      </c>
      <c r="M29" s="14">
        <v>11.6</v>
      </c>
      <c r="N29" t="s">
        <v>88</v>
      </c>
    </row>
    <row r="30" spans="1:14" ht="12.75">
      <c r="A30" s="4" t="s">
        <v>60</v>
      </c>
      <c r="B30" s="2">
        <v>39972</v>
      </c>
      <c r="C30" s="1"/>
      <c r="F30" s="20">
        <v>6232405</v>
      </c>
      <c r="G30">
        <v>667571</v>
      </c>
      <c r="H30">
        <v>56.20702</v>
      </c>
      <c r="I30">
        <v>29.70166</v>
      </c>
      <c r="K30" s="14">
        <v>108</v>
      </c>
      <c r="L30" s="14">
        <v>8.59</v>
      </c>
      <c r="M30" s="14">
        <v>17.3</v>
      </c>
      <c r="N30" t="s">
        <v>92</v>
      </c>
    </row>
    <row r="31" spans="1:14" ht="12.75">
      <c r="A31" s="4" t="s">
        <v>61</v>
      </c>
      <c r="B31" s="2">
        <v>39972</v>
      </c>
      <c r="C31" s="1"/>
      <c r="F31">
        <v>6232670</v>
      </c>
      <c r="G31">
        <v>667928</v>
      </c>
      <c r="H31">
        <v>56.20703</v>
      </c>
      <c r="I31">
        <v>29.70167</v>
      </c>
      <c r="K31" s="14">
        <v>114</v>
      </c>
      <c r="L31" s="14">
        <v>8.66</v>
      </c>
      <c r="M31" s="14">
        <v>18.1</v>
      </c>
      <c r="N31" t="s">
        <v>89</v>
      </c>
    </row>
    <row r="32" spans="1:14" ht="12.75">
      <c r="A32" s="4" t="s">
        <v>62</v>
      </c>
      <c r="B32" s="2">
        <v>39972</v>
      </c>
      <c r="C32" s="1"/>
      <c r="F32">
        <v>6231734</v>
      </c>
      <c r="G32">
        <v>668184</v>
      </c>
      <c r="H32">
        <v>56.20927</v>
      </c>
      <c r="I32">
        <v>29.70757</v>
      </c>
      <c r="K32" s="14">
        <v>108</v>
      </c>
      <c r="L32" s="14">
        <v>9.1</v>
      </c>
      <c r="M32" s="14">
        <v>18.2</v>
      </c>
      <c r="N32" t="s">
        <v>90</v>
      </c>
    </row>
    <row r="33" spans="1:14" ht="12.75">
      <c r="A33" s="4" t="s">
        <v>63</v>
      </c>
      <c r="B33" s="2">
        <v>39972</v>
      </c>
      <c r="C33" s="1"/>
      <c r="F33">
        <v>6232767</v>
      </c>
      <c r="G33">
        <v>668484</v>
      </c>
      <c r="H33">
        <v>56.20976</v>
      </c>
      <c r="I33">
        <v>29.71174</v>
      </c>
      <c r="K33" s="14">
        <v>238</v>
      </c>
      <c r="L33" s="14">
        <v>7.74</v>
      </c>
      <c r="M33" s="14">
        <v>12.5</v>
      </c>
      <c r="N33" t="s">
        <v>91</v>
      </c>
    </row>
    <row r="34" spans="1:14" ht="12.75">
      <c r="A34" s="4" t="s">
        <v>64</v>
      </c>
      <c r="B34" s="2">
        <v>39972</v>
      </c>
      <c r="C34" s="1"/>
      <c r="F34">
        <v>6232770</v>
      </c>
      <c r="G34">
        <v>668665</v>
      </c>
      <c r="H34">
        <v>56.20995</v>
      </c>
      <c r="I34">
        <v>29.71674</v>
      </c>
      <c r="K34" s="14">
        <v>165</v>
      </c>
      <c r="L34" s="14">
        <v>8.33</v>
      </c>
      <c r="M34" s="14">
        <v>16.9</v>
      </c>
      <c r="N34" t="s">
        <v>93</v>
      </c>
    </row>
    <row r="35" spans="1:14" ht="12.75">
      <c r="A35" s="4" t="s">
        <v>65</v>
      </c>
      <c r="B35" s="2">
        <v>39972</v>
      </c>
      <c r="C35" s="1"/>
      <c r="F35">
        <v>6232779</v>
      </c>
      <c r="G35">
        <v>668725</v>
      </c>
      <c r="H35">
        <v>56.20991</v>
      </c>
      <c r="I35">
        <v>29.7195</v>
      </c>
      <c r="K35" s="14">
        <v>275</v>
      </c>
      <c r="L35" s="14">
        <v>7.63</v>
      </c>
      <c r="M35" s="14">
        <v>11.9</v>
      </c>
      <c r="N35" t="s">
        <v>94</v>
      </c>
    </row>
    <row r="36" spans="1:14" ht="12.75">
      <c r="A36" s="4" t="s">
        <v>66</v>
      </c>
      <c r="B36" s="2">
        <v>39972</v>
      </c>
      <c r="C36" s="1"/>
      <c r="F36">
        <v>6232828</v>
      </c>
      <c r="G36">
        <v>668822</v>
      </c>
      <c r="H36">
        <v>56.20997</v>
      </c>
      <c r="I36">
        <v>29.72048</v>
      </c>
      <c r="K36" s="14">
        <v>184</v>
      </c>
      <c r="L36" s="14">
        <v>7.08</v>
      </c>
      <c r="M36" s="14">
        <v>12.4</v>
      </c>
      <c r="N36" t="s">
        <v>95</v>
      </c>
    </row>
    <row r="37" spans="1:3" ht="12.75">
      <c r="A37" s="5"/>
      <c r="C37" s="1"/>
    </row>
    <row r="38" spans="1:14" ht="12.75">
      <c r="A38" s="4" t="s">
        <v>112</v>
      </c>
      <c r="B38" s="2">
        <v>39973</v>
      </c>
      <c r="C38" s="1"/>
      <c r="F38">
        <v>6227707</v>
      </c>
      <c r="G38">
        <v>660461</v>
      </c>
      <c r="H38">
        <v>56.1673</v>
      </c>
      <c r="I38">
        <v>29.58432</v>
      </c>
      <c r="K38" s="14">
        <v>94</v>
      </c>
      <c r="L38" s="14">
        <v>7.24</v>
      </c>
      <c r="M38" s="14">
        <v>13.5</v>
      </c>
      <c r="N38" t="s">
        <v>127</v>
      </c>
    </row>
    <row r="39" spans="1:14" ht="12.75">
      <c r="A39" s="4" t="s">
        <v>113</v>
      </c>
      <c r="B39" s="2">
        <v>39973</v>
      </c>
      <c r="C39" s="1"/>
      <c r="F39">
        <v>6228165</v>
      </c>
      <c r="G39">
        <v>660115</v>
      </c>
      <c r="H39">
        <v>56.17153</v>
      </c>
      <c r="I39">
        <v>29.57904</v>
      </c>
      <c r="K39" s="14">
        <v>236</v>
      </c>
      <c r="L39" s="14">
        <v>7.57</v>
      </c>
      <c r="M39" s="14">
        <v>13.6</v>
      </c>
      <c r="N39" t="s">
        <v>128</v>
      </c>
    </row>
    <row r="40" spans="1:14" ht="12.75">
      <c r="A40" s="4" t="s">
        <v>114</v>
      </c>
      <c r="B40" s="2">
        <v>39973</v>
      </c>
      <c r="C40" s="1"/>
      <c r="F40">
        <v>6228346</v>
      </c>
      <c r="G40">
        <v>660080</v>
      </c>
      <c r="H40">
        <v>56.17317</v>
      </c>
      <c r="I40">
        <v>29.57858</v>
      </c>
      <c r="K40" s="14">
        <v>253</v>
      </c>
      <c r="L40" s="14">
        <v>7.35</v>
      </c>
      <c r="M40" s="14">
        <v>13.9</v>
      </c>
      <c r="N40" t="s">
        <v>129</v>
      </c>
    </row>
    <row r="41" spans="1:14" ht="12.75">
      <c r="A41" s="4" t="s">
        <v>115</v>
      </c>
      <c r="B41" s="2">
        <v>39973</v>
      </c>
      <c r="F41">
        <v>6228393</v>
      </c>
      <c r="G41">
        <v>660002</v>
      </c>
      <c r="H41">
        <v>56.17361</v>
      </c>
      <c r="I41">
        <v>29.57735</v>
      </c>
      <c r="K41" s="14">
        <v>206</v>
      </c>
      <c r="L41" s="14">
        <v>7.22</v>
      </c>
      <c r="M41" s="14">
        <v>18.5</v>
      </c>
      <c r="N41" t="s">
        <v>128</v>
      </c>
    </row>
    <row r="42" spans="1:14" ht="12.75">
      <c r="A42" s="4" t="s">
        <v>116</v>
      </c>
      <c r="B42" s="2">
        <v>39973</v>
      </c>
      <c r="F42">
        <v>6228546</v>
      </c>
      <c r="G42">
        <v>659756</v>
      </c>
      <c r="H42">
        <v>56.17507</v>
      </c>
      <c r="I42">
        <v>29.57349</v>
      </c>
      <c r="K42" s="14">
        <v>173</v>
      </c>
      <c r="M42" s="14">
        <v>16</v>
      </c>
      <c r="N42" t="s">
        <v>282</v>
      </c>
    </row>
    <row r="43" spans="1:14" ht="12.75">
      <c r="A43" s="4" t="s">
        <v>117</v>
      </c>
      <c r="B43" s="2">
        <v>39973</v>
      </c>
      <c r="F43">
        <v>6228672</v>
      </c>
      <c r="G43">
        <v>658635</v>
      </c>
      <c r="H43">
        <v>56.17658</v>
      </c>
      <c r="I43">
        <v>29.55552</v>
      </c>
      <c r="K43" s="14">
        <v>1</v>
      </c>
      <c r="L43" s="14">
        <v>5.5</v>
      </c>
      <c r="M43" s="14">
        <v>21</v>
      </c>
      <c r="N43" t="s">
        <v>132</v>
      </c>
    </row>
    <row r="44" spans="1:14" ht="12.75">
      <c r="A44" s="4" t="s">
        <v>126</v>
      </c>
      <c r="B44" s="2">
        <v>39973</v>
      </c>
      <c r="F44">
        <v>6228130</v>
      </c>
      <c r="G44">
        <v>657577</v>
      </c>
      <c r="H44">
        <v>56.17206</v>
      </c>
      <c r="I44">
        <v>29.53818</v>
      </c>
      <c r="K44" s="14">
        <v>315</v>
      </c>
      <c r="L44" s="14">
        <v>7.1</v>
      </c>
      <c r="M44" s="14">
        <v>10</v>
      </c>
      <c r="N44" t="s">
        <v>281</v>
      </c>
    </row>
    <row r="45" spans="1:14" ht="12.75">
      <c r="A45" s="4" t="s">
        <v>118</v>
      </c>
      <c r="B45" s="2">
        <v>39973</v>
      </c>
      <c r="C45" s="2"/>
      <c r="F45">
        <v>6228097</v>
      </c>
      <c r="G45">
        <v>657581</v>
      </c>
      <c r="H45">
        <v>56.17177</v>
      </c>
      <c r="I45">
        <v>29.53821</v>
      </c>
      <c r="K45" s="14">
        <v>314</v>
      </c>
      <c r="L45" s="14">
        <v>7.13</v>
      </c>
      <c r="M45" s="14">
        <v>15.5</v>
      </c>
      <c r="N45" t="s">
        <v>280</v>
      </c>
    </row>
    <row r="46" spans="1:14" ht="12.75">
      <c r="A46" s="4" t="s">
        <v>119</v>
      </c>
      <c r="B46" s="2">
        <v>39973</v>
      </c>
      <c r="F46">
        <v>6227795</v>
      </c>
      <c r="G46">
        <v>657832</v>
      </c>
      <c r="H46">
        <v>56.16897</v>
      </c>
      <c r="I46">
        <v>29.54208</v>
      </c>
      <c r="K46" s="14">
        <v>186</v>
      </c>
      <c r="L46" s="14">
        <v>7.82</v>
      </c>
      <c r="M46" s="14">
        <v>16.6</v>
      </c>
      <c r="N46" t="s">
        <v>279</v>
      </c>
    </row>
    <row r="47" spans="1:14" ht="12.75">
      <c r="A47" s="4" t="s">
        <v>120</v>
      </c>
      <c r="B47" s="2">
        <v>39973</v>
      </c>
      <c r="F47">
        <v>6227997</v>
      </c>
      <c r="G47">
        <v>658614</v>
      </c>
      <c r="H47">
        <v>56.17052</v>
      </c>
      <c r="I47">
        <v>29.55478</v>
      </c>
      <c r="K47" s="14">
        <v>320</v>
      </c>
      <c r="L47" s="14">
        <v>7.534</v>
      </c>
      <c r="M47" s="14">
        <v>16.5</v>
      </c>
      <c r="N47" t="s">
        <v>133</v>
      </c>
    </row>
    <row r="48" spans="1:14" ht="12.75">
      <c r="A48" s="4" t="s">
        <v>121</v>
      </c>
      <c r="B48" s="2">
        <v>39973</v>
      </c>
      <c r="F48">
        <v>6228736</v>
      </c>
      <c r="G48">
        <v>660076</v>
      </c>
      <c r="H48">
        <v>56.17667</v>
      </c>
      <c r="I48">
        <v>29.57875</v>
      </c>
      <c r="K48" s="14">
        <v>75</v>
      </c>
      <c r="L48" s="14">
        <v>7.1</v>
      </c>
      <c r="M48" s="14">
        <v>20</v>
      </c>
      <c r="N48" t="s">
        <v>130</v>
      </c>
    </row>
    <row r="49" spans="1:14" ht="12.75">
      <c r="A49" s="4" t="s">
        <v>122</v>
      </c>
      <c r="B49" s="2">
        <v>39973</v>
      </c>
      <c r="D49" s="3"/>
      <c r="F49">
        <v>6228899</v>
      </c>
      <c r="G49">
        <v>660420</v>
      </c>
      <c r="H49">
        <v>56.17835</v>
      </c>
      <c r="I49">
        <v>29.58686</v>
      </c>
      <c r="K49" s="14">
        <v>259</v>
      </c>
      <c r="L49" s="14">
        <v>7.42</v>
      </c>
      <c r="M49" s="14">
        <v>15.2</v>
      </c>
      <c r="N49" t="s">
        <v>134</v>
      </c>
    </row>
    <row r="50" spans="1:14" ht="12.75">
      <c r="A50" s="4" t="s">
        <v>123</v>
      </c>
      <c r="B50" s="2">
        <v>39973</v>
      </c>
      <c r="D50" s="3"/>
      <c r="F50">
        <v>6229198</v>
      </c>
      <c r="G50">
        <v>660454</v>
      </c>
      <c r="H50">
        <v>56.18069</v>
      </c>
      <c r="I50">
        <v>29.58511</v>
      </c>
      <c r="K50" s="14">
        <v>35</v>
      </c>
      <c r="L50" s="14">
        <v>6.4</v>
      </c>
      <c r="M50" s="14">
        <v>17.2</v>
      </c>
      <c r="N50" t="s">
        <v>131</v>
      </c>
    </row>
    <row r="51" spans="1:14" ht="12.75">
      <c r="A51" s="4" t="s">
        <v>124</v>
      </c>
      <c r="B51" s="2">
        <v>39973</v>
      </c>
      <c r="C51" s="1"/>
      <c r="F51">
        <v>6230386</v>
      </c>
      <c r="G51">
        <v>660813</v>
      </c>
      <c r="H51">
        <v>56.19123</v>
      </c>
      <c r="I51">
        <v>29.59161</v>
      </c>
      <c r="K51" s="14">
        <v>9</v>
      </c>
      <c r="L51" s="9">
        <v>6.65</v>
      </c>
      <c r="M51" s="14">
        <v>20.9</v>
      </c>
      <c r="N51" t="s">
        <v>264</v>
      </c>
    </row>
    <row r="52" spans="1:14" ht="12.75">
      <c r="A52" s="4" t="s">
        <v>125</v>
      </c>
      <c r="B52" s="2">
        <v>39973</v>
      </c>
      <c r="C52" s="1"/>
      <c r="F52">
        <v>6231997</v>
      </c>
      <c r="G52">
        <v>660659</v>
      </c>
      <c r="H52">
        <v>56.20574</v>
      </c>
      <c r="I52">
        <v>29.5901</v>
      </c>
      <c r="K52" s="14">
        <v>177</v>
      </c>
      <c r="L52" s="12">
        <v>7.48</v>
      </c>
      <c r="M52" s="12">
        <v>18.3</v>
      </c>
      <c r="N52" t="s">
        <v>263</v>
      </c>
    </row>
    <row r="53" spans="3:13" ht="12.75">
      <c r="C53" s="1"/>
      <c r="L53" s="12"/>
      <c r="M53" s="12"/>
    </row>
    <row r="54" spans="1:14" ht="12.75">
      <c r="A54" s="4" t="s">
        <v>135</v>
      </c>
      <c r="B54" s="2">
        <v>39973</v>
      </c>
      <c r="C54" s="1"/>
      <c r="F54">
        <v>6233359</v>
      </c>
      <c r="G54">
        <v>663170</v>
      </c>
      <c r="H54">
        <v>56.21711</v>
      </c>
      <c r="I54">
        <v>29.63138</v>
      </c>
      <c r="K54" s="14">
        <v>169</v>
      </c>
      <c r="L54" s="12">
        <v>8.21</v>
      </c>
      <c r="M54" s="12">
        <v>20.5</v>
      </c>
      <c r="N54" t="s">
        <v>165</v>
      </c>
    </row>
    <row r="55" spans="1:14" ht="12.75">
      <c r="A55" s="4" t="s">
        <v>136</v>
      </c>
      <c r="B55" s="2">
        <v>39973</v>
      </c>
      <c r="C55" s="1"/>
      <c r="F55">
        <v>6233550</v>
      </c>
      <c r="G55">
        <v>663377</v>
      </c>
      <c r="H55">
        <v>56.21875</v>
      </c>
      <c r="I55">
        <v>29.63483</v>
      </c>
      <c r="K55" s="14">
        <v>263</v>
      </c>
      <c r="L55" s="12">
        <v>8.08</v>
      </c>
      <c r="M55" s="12">
        <v>21</v>
      </c>
      <c r="N55" t="s">
        <v>166</v>
      </c>
    </row>
    <row r="56" spans="1:14" ht="12.75">
      <c r="A56" s="4" t="s">
        <v>137</v>
      </c>
      <c r="B56" s="2">
        <v>39973</v>
      </c>
      <c r="C56" s="1"/>
      <c r="F56">
        <v>6233586</v>
      </c>
      <c r="G56">
        <v>663491</v>
      </c>
      <c r="H56">
        <v>56.21902</v>
      </c>
      <c r="I56">
        <v>29.63667</v>
      </c>
      <c r="K56" s="14">
        <v>271</v>
      </c>
      <c r="L56" s="12">
        <v>8.29</v>
      </c>
      <c r="M56" s="12">
        <v>20.5</v>
      </c>
      <c r="N56" t="s">
        <v>167</v>
      </c>
    </row>
    <row r="57" spans="1:14" ht="12.75">
      <c r="A57" s="4" t="s">
        <v>138</v>
      </c>
      <c r="B57" s="2">
        <v>39973</v>
      </c>
      <c r="C57" s="1"/>
      <c r="F57">
        <v>6233636</v>
      </c>
      <c r="G57">
        <v>663682</v>
      </c>
      <c r="H57">
        <v>56.21942</v>
      </c>
      <c r="I57">
        <v>29.6398</v>
      </c>
      <c r="K57" s="14">
        <v>153</v>
      </c>
      <c r="L57" s="12">
        <v>7.77</v>
      </c>
      <c r="M57" s="12">
        <v>15.7</v>
      </c>
      <c r="N57" t="s">
        <v>168</v>
      </c>
    </row>
    <row r="58" spans="1:15" ht="12.75">
      <c r="A58" s="4" t="s">
        <v>139</v>
      </c>
      <c r="B58" s="2">
        <v>39973</v>
      </c>
      <c r="C58" s="1"/>
      <c r="F58">
        <v>6233619</v>
      </c>
      <c r="G58">
        <v>663788</v>
      </c>
      <c r="H58">
        <v>56.21924</v>
      </c>
      <c r="I58">
        <v>29.64149</v>
      </c>
      <c r="K58" s="14">
        <v>310</v>
      </c>
      <c r="L58" s="12">
        <v>8.16</v>
      </c>
      <c r="M58" s="12">
        <v>15</v>
      </c>
      <c r="N58" t="s">
        <v>77</v>
      </c>
      <c r="O58">
        <v>202</v>
      </c>
    </row>
    <row r="59" spans="1:15" ht="12.75">
      <c r="A59" s="4" t="s">
        <v>140</v>
      </c>
      <c r="B59" s="2">
        <v>39973</v>
      </c>
      <c r="C59" s="1"/>
      <c r="F59">
        <v>6233608</v>
      </c>
      <c r="G59">
        <v>663770</v>
      </c>
      <c r="H59">
        <v>56.21914</v>
      </c>
      <c r="I59">
        <v>29.64119</v>
      </c>
      <c r="K59" s="14">
        <v>258</v>
      </c>
      <c r="L59" s="12">
        <v>7.92</v>
      </c>
      <c r="M59" s="12">
        <v>14.3</v>
      </c>
      <c r="N59" t="s">
        <v>180</v>
      </c>
      <c r="O59">
        <v>204</v>
      </c>
    </row>
    <row r="60" spans="1:14" ht="12.75">
      <c r="A60" s="4" t="s">
        <v>141</v>
      </c>
      <c r="B60" s="2">
        <v>39973</v>
      </c>
      <c r="C60" s="1"/>
      <c r="F60">
        <v>6233591</v>
      </c>
      <c r="G60">
        <v>663950</v>
      </c>
      <c r="H60">
        <v>56.21893</v>
      </c>
      <c r="I60">
        <v>29.64409</v>
      </c>
      <c r="K60" s="14">
        <v>295</v>
      </c>
      <c r="L60" s="12">
        <v>7.96</v>
      </c>
      <c r="M60" s="12">
        <v>17.1</v>
      </c>
      <c r="N60" t="s">
        <v>76</v>
      </c>
    </row>
    <row r="61" spans="1:15" ht="12.75">
      <c r="A61" s="4" t="s">
        <v>142</v>
      </c>
      <c r="B61" s="2">
        <v>39973</v>
      </c>
      <c r="C61" s="1"/>
      <c r="F61">
        <v>6233575</v>
      </c>
      <c r="G61">
        <v>664116</v>
      </c>
      <c r="H61">
        <v>56.21872</v>
      </c>
      <c r="I61">
        <v>29.64754</v>
      </c>
      <c r="K61" s="14">
        <v>305</v>
      </c>
      <c r="L61" s="12">
        <v>8.17</v>
      </c>
      <c r="M61" s="12">
        <v>17</v>
      </c>
      <c r="N61" t="s">
        <v>169</v>
      </c>
      <c r="O61">
        <v>205</v>
      </c>
    </row>
    <row r="62" spans="1:15" ht="12.75">
      <c r="A62" s="4" t="s">
        <v>143</v>
      </c>
      <c r="B62" s="2">
        <v>39973</v>
      </c>
      <c r="C62" s="1"/>
      <c r="F62">
        <v>6233585</v>
      </c>
      <c r="G62">
        <v>664599</v>
      </c>
      <c r="H62">
        <v>56.21865</v>
      </c>
      <c r="I62">
        <v>29.65453</v>
      </c>
      <c r="K62" s="14">
        <v>204</v>
      </c>
      <c r="L62" s="12">
        <v>8.32</v>
      </c>
      <c r="M62" s="12">
        <v>19</v>
      </c>
      <c r="N62" t="s">
        <v>170</v>
      </c>
      <c r="O62">
        <v>209</v>
      </c>
    </row>
    <row r="63" spans="1:15" ht="12.75">
      <c r="A63" s="4" t="s">
        <v>144</v>
      </c>
      <c r="B63" s="2">
        <v>39973</v>
      </c>
      <c r="C63" s="1"/>
      <c r="F63">
        <v>6233598</v>
      </c>
      <c r="G63">
        <v>664639</v>
      </c>
      <c r="H63">
        <v>56.21875</v>
      </c>
      <c r="I63">
        <v>29.65518</v>
      </c>
      <c r="K63" s="14">
        <v>191</v>
      </c>
      <c r="L63" s="12">
        <v>8.07</v>
      </c>
      <c r="M63" s="12">
        <v>14.6</v>
      </c>
      <c r="N63" t="s">
        <v>171</v>
      </c>
      <c r="O63">
        <v>211</v>
      </c>
    </row>
    <row r="64" spans="1:15" ht="12.75">
      <c r="A64" s="4" t="s">
        <v>145</v>
      </c>
      <c r="B64" s="2">
        <v>39973</v>
      </c>
      <c r="C64" s="1"/>
      <c r="F64">
        <v>6233576</v>
      </c>
      <c r="G64">
        <v>664656</v>
      </c>
      <c r="H64">
        <v>56.21855</v>
      </c>
      <c r="I64">
        <v>29.65547</v>
      </c>
      <c r="K64" s="14">
        <v>120</v>
      </c>
      <c r="L64" s="12">
        <v>7.98</v>
      </c>
      <c r="M64" s="12">
        <v>16.2</v>
      </c>
      <c r="N64" t="s">
        <v>172</v>
      </c>
      <c r="O64">
        <v>214</v>
      </c>
    </row>
    <row r="65" spans="1:15" ht="12.75">
      <c r="A65" s="4" t="s">
        <v>146</v>
      </c>
      <c r="B65" s="2">
        <v>39973</v>
      </c>
      <c r="C65" s="1"/>
      <c r="F65">
        <v>6233453</v>
      </c>
      <c r="G65">
        <v>664767</v>
      </c>
      <c r="H65">
        <v>56.2174</v>
      </c>
      <c r="I65">
        <v>29.65748</v>
      </c>
      <c r="K65" s="14">
        <v>175</v>
      </c>
      <c r="L65" s="12">
        <v>7.62</v>
      </c>
      <c r="M65" s="12">
        <v>17.5</v>
      </c>
      <c r="N65" t="s">
        <v>173</v>
      </c>
      <c r="O65">
        <v>216</v>
      </c>
    </row>
    <row r="66" spans="1:15" ht="12.75">
      <c r="A66" s="4" t="s">
        <v>147</v>
      </c>
      <c r="B66" s="2">
        <v>39973</v>
      </c>
      <c r="C66" s="1"/>
      <c r="F66">
        <v>6233292</v>
      </c>
      <c r="G66">
        <v>664917</v>
      </c>
      <c r="H66">
        <v>56.21591</v>
      </c>
      <c r="I66">
        <v>29.65947</v>
      </c>
      <c r="K66" s="14">
        <v>354</v>
      </c>
      <c r="L66" s="12">
        <v>8.64</v>
      </c>
      <c r="M66" s="12">
        <v>19.3</v>
      </c>
      <c r="N66" t="s">
        <v>174</v>
      </c>
      <c r="O66">
        <v>221</v>
      </c>
    </row>
    <row r="67" spans="1:15" ht="12.75">
      <c r="A67" s="4" t="s">
        <v>148</v>
      </c>
      <c r="B67" s="2">
        <v>39973</v>
      </c>
      <c r="C67" s="1"/>
      <c r="F67">
        <v>6233312</v>
      </c>
      <c r="G67" s="32" t="s">
        <v>164</v>
      </c>
      <c r="H67">
        <v>56.21608</v>
      </c>
      <c r="I67">
        <v>29.65998</v>
      </c>
      <c r="K67" s="14">
        <v>151</v>
      </c>
      <c r="L67" s="12">
        <v>7.96</v>
      </c>
      <c r="M67" s="12">
        <v>18.8</v>
      </c>
      <c r="N67" t="s">
        <v>278</v>
      </c>
      <c r="O67">
        <v>220</v>
      </c>
    </row>
    <row r="68" spans="1:15" ht="12.75">
      <c r="A68" s="4" t="s">
        <v>149</v>
      </c>
      <c r="B68" s="2">
        <v>39973</v>
      </c>
      <c r="C68" s="1"/>
      <c r="F68">
        <v>6233268</v>
      </c>
      <c r="G68">
        <v>665275</v>
      </c>
      <c r="H68">
        <v>56.21555</v>
      </c>
      <c r="I68">
        <v>29.66503</v>
      </c>
      <c r="K68" s="14">
        <v>225</v>
      </c>
      <c r="L68" s="12">
        <v>8.55</v>
      </c>
      <c r="M68" s="12">
        <v>27.3</v>
      </c>
      <c r="N68" t="s">
        <v>170</v>
      </c>
      <c r="O68">
        <v>223</v>
      </c>
    </row>
    <row r="69" spans="1:15" ht="12.75">
      <c r="A69" s="4" t="s">
        <v>150</v>
      </c>
      <c r="B69" s="2">
        <v>39973</v>
      </c>
      <c r="C69" s="1"/>
      <c r="F69">
        <v>6233096</v>
      </c>
      <c r="G69">
        <v>665407</v>
      </c>
      <c r="H69">
        <v>56.21398</v>
      </c>
      <c r="I69">
        <v>29.66725</v>
      </c>
      <c r="K69" s="14">
        <v>37</v>
      </c>
      <c r="L69" s="12">
        <v>8.96</v>
      </c>
      <c r="M69" s="12">
        <v>26.6</v>
      </c>
      <c r="N69" t="s">
        <v>175</v>
      </c>
      <c r="O69">
        <v>224</v>
      </c>
    </row>
    <row r="70" spans="1:15" ht="12.75">
      <c r="A70" s="4" t="s">
        <v>151</v>
      </c>
      <c r="B70" s="2">
        <v>39973</v>
      </c>
      <c r="C70" s="1"/>
      <c r="F70">
        <v>6233080</v>
      </c>
      <c r="G70">
        <v>665380</v>
      </c>
      <c r="H70">
        <v>56.21384</v>
      </c>
      <c r="I70">
        <v>29.6668</v>
      </c>
      <c r="K70" s="14">
        <v>390</v>
      </c>
      <c r="L70" s="12">
        <v>8.2</v>
      </c>
      <c r="M70" s="12">
        <v>16.9</v>
      </c>
      <c r="N70" t="s">
        <v>176</v>
      </c>
      <c r="O70">
        <v>224</v>
      </c>
    </row>
    <row r="71" spans="1:15" ht="12.75">
      <c r="A71" s="4" t="s">
        <v>152</v>
      </c>
      <c r="B71" s="2">
        <v>39973</v>
      </c>
      <c r="C71" s="1"/>
      <c r="F71">
        <v>6233064</v>
      </c>
      <c r="G71">
        <v>665396</v>
      </c>
      <c r="H71">
        <v>56.2137</v>
      </c>
      <c r="I71">
        <v>29.66704</v>
      </c>
      <c r="K71" s="14">
        <v>40</v>
      </c>
      <c r="L71" s="12">
        <v>7.85</v>
      </c>
      <c r="M71" s="12">
        <v>25.3</v>
      </c>
      <c r="N71" t="s">
        <v>177</v>
      </c>
      <c r="O71">
        <v>226</v>
      </c>
    </row>
    <row r="72" spans="1:15" ht="12.75">
      <c r="A72" s="4" t="s">
        <v>153</v>
      </c>
      <c r="B72" s="2">
        <v>39973</v>
      </c>
      <c r="C72" s="1"/>
      <c r="F72" s="32" t="s">
        <v>163</v>
      </c>
      <c r="G72">
        <v>665370</v>
      </c>
      <c r="H72">
        <v>56.20996</v>
      </c>
      <c r="I72">
        <v>29.66637</v>
      </c>
      <c r="K72" s="14">
        <v>61</v>
      </c>
      <c r="L72" s="12">
        <v>7.96</v>
      </c>
      <c r="M72" s="12">
        <v>24.2</v>
      </c>
      <c r="N72" t="s">
        <v>178</v>
      </c>
      <c r="O72">
        <v>227</v>
      </c>
    </row>
    <row r="73" spans="1:15" ht="12.75">
      <c r="A73" s="4" t="s">
        <v>154</v>
      </c>
      <c r="B73" s="2">
        <v>39973</v>
      </c>
      <c r="C73" s="1"/>
      <c r="F73">
        <v>6232541</v>
      </c>
      <c r="G73">
        <v>665385</v>
      </c>
      <c r="H73">
        <v>56.20901</v>
      </c>
      <c r="I73">
        <v>29.66655</v>
      </c>
      <c r="K73" s="14">
        <v>133</v>
      </c>
      <c r="L73" s="12">
        <v>8.64</v>
      </c>
      <c r="M73" s="12">
        <v>26.7</v>
      </c>
      <c r="N73" t="s">
        <v>179</v>
      </c>
      <c r="O73">
        <v>228</v>
      </c>
    </row>
    <row r="74" spans="1:14" ht="12.75">
      <c r="A74" s="4" t="s">
        <v>155</v>
      </c>
      <c r="B74" s="2">
        <v>39973</v>
      </c>
      <c r="C74" s="1"/>
      <c r="F74">
        <v>6232097</v>
      </c>
      <c r="G74">
        <v>665472</v>
      </c>
      <c r="H74">
        <v>56.20499</v>
      </c>
      <c r="I74">
        <v>29.66767</v>
      </c>
      <c r="K74" s="14">
        <v>35</v>
      </c>
      <c r="L74" s="12">
        <v>8.73</v>
      </c>
      <c r="M74" s="12">
        <v>26.9</v>
      </c>
      <c r="N74" t="s">
        <v>175</v>
      </c>
    </row>
    <row r="75" spans="1:14" ht="12.75">
      <c r="A75" s="4" t="s">
        <v>156</v>
      </c>
      <c r="B75" s="2">
        <v>39973</v>
      </c>
      <c r="C75" s="2"/>
      <c r="F75">
        <v>6232061</v>
      </c>
      <c r="G75">
        <v>665463</v>
      </c>
      <c r="H75">
        <v>56.20467</v>
      </c>
      <c r="I75">
        <v>29.6675</v>
      </c>
      <c r="K75" s="14">
        <v>58</v>
      </c>
      <c r="L75" s="12">
        <v>7.85</v>
      </c>
      <c r="M75" s="12">
        <v>22.3</v>
      </c>
      <c r="N75" t="s">
        <v>181</v>
      </c>
    </row>
    <row r="76" spans="1:15" ht="12.75">
      <c r="A76" s="4" t="s">
        <v>157</v>
      </c>
      <c r="B76" s="2">
        <v>39973</v>
      </c>
      <c r="C76" s="1"/>
      <c r="F76">
        <v>6231858</v>
      </c>
      <c r="G76">
        <v>665490</v>
      </c>
      <c r="H76">
        <v>56.20284</v>
      </c>
      <c r="I76">
        <v>29.66781</v>
      </c>
      <c r="K76" s="14">
        <v>79</v>
      </c>
      <c r="L76" s="12">
        <v>8.08</v>
      </c>
      <c r="M76" s="12">
        <v>24.6</v>
      </c>
      <c r="N76" t="s">
        <v>182</v>
      </c>
      <c r="O76">
        <v>229</v>
      </c>
    </row>
    <row r="77" spans="1:15" ht="12.75">
      <c r="A77" s="4" t="s">
        <v>158</v>
      </c>
      <c r="B77" s="2">
        <v>39973</v>
      </c>
      <c r="C77" s="1"/>
      <c r="F77">
        <v>6231755</v>
      </c>
      <c r="G77">
        <v>665522</v>
      </c>
      <c r="H77">
        <v>56.2019</v>
      </c>
      <c r="I77">
        <v>29.66825</v>
      </c>
      <c r="K77" s="14">
        <v>144</v>
      </c>
      <c r="L77" s="12">
        <v>7.81</v>
      </c>
      <c r="M77" s="12">
        <v>23</v>
      </c>
      <c r="N77" t="s">
        <v>183</v>
      </c>
      <c r="O77">
        <v>230</v>
      </c>
    </row>
    <row r="78" spans="1:15" ht="12.75">
      <c r="A78" s="4" t="s">
        <v>159</v>
      </c>
      <c r="B78" s="2">
        <v>39973</v>
      </c>
      <c r="C78" s="1"/>
      <c r="F78">
        <v>6231680</v>
      </c>
      <c r="G78">
        <v>665547</v>
      </c>
      <c r="H78">
        <v>56.20122</v>
      </c>
      <c r="I78">
        <v>29.66862</v>
      </c>
      <c r="K78" s="14">
        <v>163</v>
      </c>
      <c r="L78" s="12">
        <v>8.03</v>
      </c>
      <c r="M78" s="12">
        <v>25.5</v>
      </c>
      <c r="N78" t="s">
        <v>184</v>
      </c>
      <c r="O78">
        <v>231</v>
      </c>
    </row>
    <row r="79" spans="1:15" ht="12.75">
      <c r="A79" s="4" t="s">
        <v>160</v>
      </c>
      <c r="B79" s="2">
        <v>39973</v>
      </c>
      <c r="C79" s="1"/>
      <c r="F79">
        <v>6231575</v>
      </c>
      <c r="G79">
        <v>665614</v>
      </c>
      <c r="H79">
        <v>56.20025</v>
      </c>
      <c r="I79">
        <v>29.66963</v>
      </c>
      <c r="K79" s="14">
        <v>160</v>
      </c>
      <c r="L79" s="12">
        <v>7.71</v>
      </c>
      <c r="M79" s="12">
        <v>26.9</v>
      </c>
      <c r="N79" t="s">
        <v>166</v>
      </c>
      <c r="O79">
        <v>234</v>
      </c>
    </row>
    <row r="80" spans="1:15" ht="12.75">
      <c r="A80" s="4" t="s">
        <v>161</v>
      </c>
      <c r="B80" s="2">
        <v>39973</v>
      </c>
      <c r="C80" s="1"/>
      <c r="F80">
        <v>6231402</v>
      </c>
      <c r="G80">
        <v>665762</v>
      </c>
      <c r="H80">
        <v>56.19865</v>
      </c>
      <c r="I80">
        <v>29.67191</v>
      </c>
      <c r="K80" s="14">
        <v>242</v>
      </c>
      <c r="L80" s="12">
        <v>7.88</v>
      </c>
      <c r="M80" s="12">
        <v>26.7</v>
      </c>
      <c r="N80" t="s">
        <v>166</v>
      </c>
      <c r="O80">
        <v>235</v>
      </c>
    </row>
    <row r="81" spans="1:15" ht="12.75">
      <c r="A81" s="4" t="s">
        <v>162</v>
      </c>
      <c r="B81" s="2">
        <v>39973</v>
      </c>
      <c r="C81" s="1"/>
      <c r="F81">
        <v>6231362</v>
      </c>
      <c r="G81">
        <v>665788</v>
      </c>
      <c r="H81">
        <v>56.19846</v>
      </c>
      <c r="I81">
        <v>29.67233</v>
      </c>
      <c r="K81" s="14">
        <v>166</v>
      </c>
      <c r="L81" s="12">
        <v>8.04</v>
      </c>
      <c r="M81" s="12">
        <v>24.6</v>
      </c>
      <c r="N81" t="s">
        <v>185</v>
      </c>
      <c r="O81">
        <v>236</v>
      </c>
    </row>
    <row r="82" ht="12.75">
      <c r="C82" s="1"/>
    </row>
    <row r="83" spans="1:14" ht="12.75">
      <c r="A83" s="4" t="s">
        <v>186</v>
      </c>
      <c r="B83" s="2">
        <v>39973</v>
      </c>
      <c r="C83" s="1"/>
      <c r="F83" s="30">
        <v>6230802</v>
      </c>
      <c r="G83">
        <v>666071</v>
      </c>
      <c r="H83">
        <v>56.19316</v>
      </c>
      <c r="I83">
        <v>29.6765</v>
      </c>
      <c r="K83" s="14">
        <v>32</v>
      </c>
      <c r="L83" s="12">
        <v>7.76</v>
      </c>
      <c r="N83" t="s">
        <v>230</v>
      </c>
    </row>
    <row r="84" spans="1:14" ht="12.75">
      <c r="A84" s="4" t="s">
        <v>187</v>
      </c>
      <c r="B84" s="2">
        <v>39973</v>
      </c>
      <c r="C84" s="1"/>
      <c r="F84" s="30">
        <v>6230582</v>
      </c>
      <c r="G84">
        <v>665957</v>
      </c>
      <c r="H84">
        <v>56.19132</v>
      </c>
      <c r="I84">
        <v>29.67454</v>
      </c>
      <c r="K84" s="14">
        <v>190</v>
      </c>
      <c r="L84" s="12">
        <v>7.38</v>
      </c>
      <c r="N84" t="s">
        <v>231</v>
      </c>
    </row>
    <row r="85" spans="1:14" ht="12.75">
      <c r="A85" s="4" t="s">
        <v>188</v>
      </c>
      <c r="B85" s="2">
        <v>39973</v>
      </c>
      <c r="C85" s="1"/>
      <c r="F85" s="30">
        <v>6239548</v>
      </c>
      <c r="G85">
        <v>665960</v>
      </c>
      <c r="H85">
        <v>56.19092</v>
      </c>
      <c r="I85">
        <v>29.67455</v>
      </c>
      <c r="K85" s="14">
        <v>193</v>
      </c>
      <c r="L85" s="12">
        <v>7.79</v>
      </c>
      <c r="M85" s="14">
        <v>14.4</v>
      </c>
      <c r="N85" t="s">
        <v>232</v>
      </c>
    </row>
    <row r="86" spans="1:14" ht="12.75">
      <c r="A86" s="4" t="s">
        <v>189</v>
      </c>
      <c r="B86" s="2">
        <v>39973</v>
      </c>
      <c r="C86" s="1"/>
      <c r="F86" s="30">
        <v>6239184</v>
      </c>
      <c r="G86">
        <v>666109</v>
      </c>
      <c r="H86">
        <v>56.1876</v>
      </c>
      <c r="I86">
        <v>29.67672</v>
      </c>
      <c r="K86" s="14">
        <v>218</v>
      </c>
      <c r="L86" s="12">
        <v>7.62</v>
      </c>
      <c r="N86" t="s">
        <v>233</v>
      </c>
    </row>
    <row r="87" spans="1:14" ht="12.75">
      <c r="A87" s="4" t="s">
        <v>190</v>
      </c>
      <c r="B87" s="2">
        <v>39973</v>
      </c>
      <c r="C87" s="1"/>
      <c r="F87" s="30">
        <v>6230163</v>
      </c>
      <c r="G87">
        <v>666319</v>
      </c>
      <c r="H87">
        <v>56.18734</v>
      </c>
      <c r="I87">
        <v>29.68008</v>
      </c>
      <c r="K87" s="14">
        <v>151</v>
      </c>
      <c r="L87" s="12">
        <v>7.81</v>
      </c>
      <c r="M87" s="14">
        <v>15.6</v>
      </c>
      <c r="N87" t="s">
        <v>234</v>
      </c>
    </row>
    <row r="88" spans="1:14" ht="12.75">
      <c r="A88" s="4" t="s">
        <v>191</v>
      </c>
      <c r="B88" s="2">
        <v>39973</v>
      </c>
      <c r="C88" s="1"/>
      <c r="F88" s="32" t="s">
        <v>227</v>
      </c>
      <c r="G88">
        <v>667124</v>
      </c>
      <c r="H88">
        <v>56.18203</v>
      </c>
      <c r="I88">
        <v>29.6927</v>
      </c>
      <c r="K88" s="14">
        <v>212</v>
      </c>
      <c r="L88" s="12">
        <v>7.06</v>
      </c>
      <c r="M88" s="12"/>
      <c r="N88" t="s">
        <v>235</v>
      </c>
    </row>
    <row r="89" spans="1:14" ht="12.75">
      <c r="A89" s="4" t="s">
        <v>192</v>
      </c>
      <c r="B89" s="2">
        <v>39973</v>
      </c>
      <c r="C89" s="1"/>
      <c r="F89" s="30">
        <v>6229595</v>
      </c>
      <c r="G89">
        <v>667132</v>
      </c>
      <c r="H89">
        <v>56.18196</v>
      </c>
      <c r="I89">
        <v>29.69281</v>
      </c>
      <c r="K89" s="14">
        <v>230</v>
      </c>
      <c r="L89" s="12">
        <v>8.32</v>
      </c>
      <c r="M89" s="12">
        <v>15</v>
      </c>
      <c r="N89" t="s">
        <v>236</v>
      </c>
    </row>
    <row r="90" spans="1:14" ht="12.75">
      <c r="A90" s="4" t="s">
        <v>193</v>
      </c>
      <c r="B90" s="2">
        <v>39973</v>
      </c>
      <c r="C90" s="1"/>
      <c r="F90" s="30">
        <v>6229582</v>
      </c>
      <c r="G90">
        <v>667135</v>
      </c>
      <c r="H90">
        <v>56.18184</v>
      </c>
      <c r="I90">
        <v>29.69286</v>
      </c>
      <c r="K90" s="14">
        <v>220</v>
      </c>
      <c r="L90" s="12">
        <v>8</v>
      </c>
      <c r="M90" s="12"/>
      <c r="N90" t="s">
        <v>237</v>
      </c>
    </row>
    <row r="91" spans="1:14" ht="12.75">
      <c r="A91" s="4" t="s">
        <v>194</v>
      </c>
      <c r="B91" s="2">
        <v>39973</v>
      </c>
      <c r="C91" s="1"/>
      <c r="F91" s="30">
        <v>6229509</v>
      </c>
      <c r="G91">
        <v>667168</v>
      </c>
      <c r="H91">
        <v>56.18117</v>
      </c>
      <c r="I91">
        <v>29.69334</v>
      </c>
      <c r="K91" s="14">
        <v>217</v>
      </c>
      <c r="L91" s="12">
        <v>8.05</v>
      </c>
      <c r="M91" s="12">
        <v>15.8</v>
      </c>
      <c r="N91" t="s">
        <v>238</v>
      </c>
    </row>
    <row r="92" spans="1:14" ht="12.75">
      <c r="A92" s="4" t="s">
        <v>195</v>
      </c>
      <c r="B92" s="2">
        <v>39973</v>
      </c>
      <c r="C92" s="1"/>
      <c r="F92" s="32" t="s">
        <v>228</v>
      </c>
      <c r="G92">
        <v>661774</v>
      </c>
      <c r="H92">
        <v>56.18123</v>
      </c>
      <c r="I92">
        <v>29.6935</v>
      </c>
      <c r="K92" s="14">
        <v>257</v>
      </c>
      <c r="L92" s="12">
        <v>6.61</v>
      </c>
      <c r="M92" s="12">
        <v>12.8</v>
      </c>
      <c r="N92" t="s">
        <v>261</v>
      </c>
    </row>
    <row r="93" spans="1:14" ht="12.75">
      <c r="A93" s="4" t="s">
        <v>196</v>
      </c>
      <c r="B93" s="2">
        <v>39973</v>
      </c>
      <c r="C93" s="1"/>
      <c r="F93" s="32" t="s">
        <v>228</v>
      </c>
      <c r="G93">
        <v>667228</v>
      </c>
      <c r="H93">
        <v>56.18081</v>
      </c>
      <c r="I93">
        <v>29.69429</v>
      </c>
      <c r="K93" s="14">
        <v>122</v>
      </c>
      <c r="L93" s="12">
        <v>8.27</v>
      </c>
      <c r="M93" s="12">
        <v>16</v>
      </c>
      <c r="N93" t="s">
        <v>238</v>
      </c>
    </row>
    <row r="94" spans="1:14" ht="12.75">
      <c r="A94" s="4" t="s">
        <v>197</v>
      </c>
      <c r="B94" s="2">
        <v>39973</v>
      </c>
      <c r="C94" s="1"/>
      <c r="F94" s="30">
        <v>6228164</v>
      </c>
      <c r="G94">
        <v>667239</v>
      </c>
      <c r="H94">
        <v>56.18074</v>
      </c>
      <c r="I94">
        <v>29.69446</v>
      </c>
      <c r="K94" s="14">
        <v>191</v>
      </c>
      <c r="L94" s="12">
        <v>7.49</v>
      </c>
      <c r="M94" s="12">
        <v>16.5</v>
      </c>
      <c r="N94" t="s">
        <v>238</v>
      </c>
    </row>
    <row r="95" spans="1:14" ht="12.75">
      <c r="A95" s="4" t="s">
        <v>198</v>
      </c>
      <c r="B95" s="2">
        <v>39973</v>
      </c>
      <c r="C95" s="1"/>
      <c r="F95" s="32" t="s">
        <v>229</v>
      </c>
      <c r="G95">
        <v>667280</v>
      </c>
      <c r="H95">
        <v>56.18003</v>
      </c>
      <c r="I95">
        <v>29.69506</v>
      </c>
      <c r="K95" s="14">
        <v>181</v>
      </c>
      <c r="L95" s="12">
        <v>7.49</v>
      </c>
      <c r="M95" s="12">
        <v>17.4</v>
      </c>
      <c r="N95" t="s">
        <v>238</v>
      </c>
    </row>
    <row r="96" spans="1:14" ht="12.75">
      <c r="A96" s="4" t="s">
        <v>199</v>
      </c>
      <c r="B96" s="2">
        <v>39973</v>
      </c>
      <c r="C96" s="1"/>
      <c r="F96" s="30">
        <v>6229267</v>
      </c>
      <c r="G96">
        <v>667257</v>
      </c>
      <c r="H96">
        <v>56.17897</v>
      </c>
      <c r="I96">
        <v>29.69462</v>
      </c>
      <c r="K96" s="14">
        <v>98</v>
      </c>
      <c r="L96" s="12">
        <v>6.49</v>
      </c>
      <c r="M96" s="12">
        <v>13</v>
      </c>
      <c r="N96" t="s">
        <v>239</v>
      </c>
    </row>
    <row r="97" spans="1:14" ht="12.75">
      <c r="A97" s="4" t="s">
        <v>200</v>
      </c>
      <c r="B97" s="2">
        <v>39973</v>
      </c>
      <c r="C97" s="1"/>
      <c r="F97" s="30">
        <v>6229268</v>
      </c>
      <c r="G97">
        <v>667253</v>
      </c>
      <c r="H97">
        <v>56.17897</v>
      </c>
      <c r="I97">
        <v>29.69457</v>
      </c>
      <c r="K97" s="14">
        <v>222</v>
      </c>
      <c r="L97" s="12">
        <v>7.62</v>
      </c>
      <c r="M97" s="12">
        <v>15.2</v>
      </c>
      <c r="N97" t="s">
        <v>240</v>
      </c>
    </row>
    <row r="98" spans="1:14" ht="12.75">
      <c r="A98" s="4" t="s">
        <v>201</v>
      </c>
      <c r="B98" s="2">
        <v>39973</v>
      </c>
      <c r="C98" s="1"/>
      <c r="F98" s="30">
        <v>6229243</v>
      </c>
      <c r="G98">
        <v>667254</v>
      </c>
      <c r="H98">
        <v>56.17876</v>
      </c>
      <c r="I98">
        <v>29.69456</v>
      </c>
      <c r="K98" s="14">
        <v>171</v>
      </c>
      <c r="L98" s="12">
        <v>7.61</v>
      </c>
      <c r="M98" s="12">
        <v>15.1</v>
      </c>
      <c r="N98" t="s">
        <v>238</v>
      </c>
    </row>
    <row r="99" spans="1:14" ht="12.75">
      <c r="A99" s="4" t="s">
        <v>202</v>
      </c>
      <c r="B99" s="2">
        <v>39973</v>
      </c>
      <c r="C99" s="1"/>
      <c r="F99" s="30">
        <v>6229241</v>
      </c>
      <c r="G99">
        <v>667253</v>
      </c>
      <c r="H99">
        <v>56.17874</v>
      </c>
      <c r="I99">
        <v>29.69454</v>
      </c>
      <c r="K99" s="14">
        <v>905</v>
      </c>
      <c r="L99" s="12">
        <v>6.22</v>
      </c>
      <c r="M99" s="12">
        <v>15.5</v>
      </c>
      <c r="N99" t="s">
        <v>241</v>
      </c>
    </row>
    <row r="100" spans="1:14" ht="12.75">
      <c r="A100" s="4" t="s">
        <v>203</v>
      </c>
      <c r="B100" s="2">
        <v>39973</v>
      </c>
      <c r="C100" s="1"/>
      <c r="F100" s="30">
        <v>6229177</v>
      </c>
      <c r="G100">
        <v>667315</v>
      </c>
      <c r="H100">
        <v>56.17814</v>
      </c>
      <c r="I100">
        <v>29.69551</v>
      </c>
      <c r="K100" s="14">
        <v>295</v>
      </c>
      <c r="L100" s="12">
        <v>8.26</v>
      </c>
      <c r="M100" s="12">
        <v>11.7</v>
      </c>
      <c r="N100" t="s">
        <v>242</v>
      </c>
    </row>
    <row r="101" spans="1:14" ht="12.75">
      <c r="A101" s="4" t="s">
        <v>204</v>
      </c>
      <c r="B101" s="2">
        <v>39973</v>
      </c>
      <c r="C101" s="1"/>
      <c r="F101">
        <v>6229153</v>
      </c>
      <c r="G101">
        <v>667342</v>
      </c>
      <c r="H101">
        <v>56.17792</v>
      </c>
      <c r="I101">
        <v>29.69591</v>
      </c>
      <c r="K101" s="14">
        <v>297</v>
      </c>
      <c r="L101" s="12">
        <v>8.62</v>
      </c>
      <c r="M101" s="12">
        <v>16.5</v>
      </c>
      <c r="N101" t="s">
        <v>262</v>
      </c>
    </row>
    <row r="102" spans="1:14" ht="12.75">
      <c r="A102" s="4" t="s">
        <v>205</v>
      </c>
      <c r="B102" s="2">
        <v>39973</v>
      </c>
      <c r="C102" s="1"/>
      <c r="F102">
        <v>6229139</v>
      </c>
      <c r="G102">
        <v>667348</v>
      </c>
      <c r="H102">
        <v>56.17779</v>
      </c>
      <c r="I102">
        <v>29.69601</v>
      </c>
      <c r="K102" s="14">
        <v>199</v>
      </c>
      <c r="L102" s="12">
        <v>8.23</v>
      </c>
      <c r="M102" s="12">
        <v>15.5</v>
      </c>
      <c r="N102" t="s">
        <v>77</v>
      </c>
    </row>
    <row r="103" spans="1:14" ht="12.75">
      <c r="A103" s="4" t="s">
        <v>206</v>
      </c>
      <c r="B103" s="2">
        <v>39973</v>
      </c>
      <c r="C103" s="1"/>
      <c r="F103">
        <v>6229103</v>
      </c>
      <c r="G103">
        <v>667339</v>
      </c>
      <c r="H103">
        <v>56.17747</v>
      </c>
      <c r="I103">
        <v>29.69584</v>
      </c>
      <c r="K103" s="14">
        <v>314</v>
      </c>
      <c r="L103" s="12">
        <v>7.82</v>
      </c>
      <c r="M103" s="12">
        <v>16</v>
      </c>
      <c r="N103" t="s">
        <v>243</v>
      </c>
    </row>
    <row r="104" spans="1:14" ht="12.75">
      <c r="A104" s="4" t="s">
        <v>207</v>
      </c>
      <c r="B104" s="2">
        <v>39973</v>
      </c>
      <c r="C104" s="1"/>
      <c r="F104">
        <v>6228998</v>
      </c>
      <c r="G104">
        <v>667291</v>
      </c>
      <c r="H104">
        <v>56.17654</v>
      </c>
      <c r="I104">
        <v>29.69501</v>
      </c>
      <c r="K104" s="14">
        <v>267</v>
      </c>
      <c r="L104" s="12">
        <v>7.777</v>
      </c>
      <c r="M104" s="12">
        <v>17.7</v>
      </c>
      <c r="N104" t="s">
        <v>238</v>
      </c>
    </row>
    <row r="105" spans="1:14" ht="12.75">
      <c r="A105" s="4" t="s">
        <v>208</v>
      </c>
      <c r="B105" s="2">
        <v>39973</v>
      </c>
      <c r="C105" s="1"/>
      <c r="F105">
        <v>6228962</v>
      </c>
      <c r="G105">
        <v>667209</v>
      </c>
      <c r="H105">
        <v>56.17623</v>
      </c>
      <c r="I105">
        <v>29.69446</v>
      </c>
      <c r="K105" s="14">
        <v>642</v>
      </c>
      <c r="L105" s="12">
        <v>7.22</v>
      </c>
      <c r="M105" s="12">
        <v>14.3</v>
      </c>
      <c r="N105" t="s">
        <v>244</v>
      </c>
    </row>
    <row r="106" spans="1:14" ht="12.75">
      <c r="A106" s="4" t="s">
        <v>209</v>
      </c>
      <c r="B106" s="2">
        <v>39973</v>
      </c>
      <c r="C106" s="1"/>
      <c r="F106">
        <v>6228881</v>
      </c>
      <c r="G106">
        <v>667219</v>
      </c>
      <c r="H106">
        <v>56.17551</v>
      </c>
      <c r="I106">
        <v>29.69377</v>
      </c>
      <c r="K106" s="14">
        <v>181</v>
      </c>
      <c r="L106" s="12">
        <v>8.67</v>
      </c>
      <c r="M106" s="12">
        <v>17.7</v>
      </c>
      <c r="N106" t="s">
        <v>245</v>
      </c>
    </row>
    <row r="107" spans="1:14" ht="12.75">
      <c r="A107" s="4" t="s">
        <v>210</v>
      </c>
      <c r="B107" s="2">
        <v>39973</v>
      </c>
      <c r="C107" s="1"/>
      <c r="F107">
        <v>6228873</v>
      </c>
      <c r="G107">
        <v>667224</v>
      </c>
      <c r="H107">
        <v>56.17545</v>
      </c>
      <c r="I107">
        <v>29.69385</v>
      </c>
      <c r="K107" s="14">
        <v>263</v>
      </c>
      <c r="L107" s="12">
        <v>7.43</v>
      </c>
      <c r="M107" s="12">
        <v>14.2</v>
      </c>
      <c r="N107" t="s">
        <v>246</v>
      </c>
    </row>
    <row r="108" spans="1:14" ht="12.75">
      <c r="A108" s="4" t="s">
        <v>211</v>
      </c>
      <c r="B108" s="2">
        <v>39973</v>
      </c>
      <c r="C108" s="1"/>
      <c r="F108">
        <v>6228332</v>
      </c>
      <c r="G108">
        <v>667258</v>
      </c>
      <c r="H108">
        <v>56.17057</v>
      </c>
      <c r="I108">
        <v>29.69405</v>
      </c>
      <c r="K108" s="14">
        <v>96</v>
      </c>
      <c r="L108" s="12">
        <v>6.85</v>
      </c>
      <c r="M108" s="12">
        <v>13.5</v>
      </c>
      <c r="N108" t="s">
        <v>247</v>
      </c>
    </row>
    <row r="109" spans="1:14" ht="12.75">
      <c r="A109" s="4" t="s">
        <v>212</v>
      </c>
      <c r="B109" s="2">
        <v>39973</v>
      </c>
      <c r="C109" s="1"/>
      <c r="F109">
        <v>6228368</v>
      </c>
      <c r="G109">
        <v>667165</v>
      </c>
      <c r="H109">
        <v>56.17093</v>
      </c>
      <c r="I109">
        <v>29.69258</v>
      </c>
      <c r="K109" s="14">
        <v>162</v>
      </c>
      <c r="L109" s="12">
        <v>6.35</v>
      </c>
      <c r="M109" s="12">
        <v>13.5</v>
      </c>
      <c r="N109" t="s">
        <v>248</v>
      </c>
    </row>
    <row r="110" spans="1:14" ht="12.75">
      <c r="A110" s="4" t="s">
        <v>213</v>
      </c>
      <c r="B110" s="2">
        <v>39973</v>
      </c>
      <c r="C110" s="1"/>
      <c r="F110">
        <v>6228364</v>
      </c>
      <c r="G110">
        <v>667151</v>
      </c>
      <c r="H110">
        <v>56.1709</v>
      </c>
      <c r="I110">
        <v>29.69235</v>
      </c>
      <c r="K110" s="14">
        <v>338</v>
      </c>
      <c r="L110" s="12">
        <v>7.1</v>
      </c>
      <c r="M110" s="12">
        <v>15.1</v>
      </c>
      <c r="N110" t="s">
        <v>249</v>
      </c>
    </row>
    <row r="111" spans="1:14" ht="12.75">
      <c r="A111" s="4" t="s">
        <v>214</v>
      </c>
      <c r="B111" s="2">
        <v>39973</v>
      </c>
      <c r="C111" s="1"/>
      <c r="F111">
        <v>6228248</v>
      </c>
      <c r="G111">
        <v>666977</v>
      </c>
      <c r="H111">
        <v>56.16992</v>
      </c>
      <c r="I111">
        <v>29.68948</v>
      </c>
      <c r="K111" s="14">
        <v>86</v>
      </c>
      <c r="L111" s="12">
        <v>6.49</v>
      </c>
      <c r="M111" s="12">
        <v>14.3</v>
      </c>
      <c r="N111" t="s">
        <v>250</v>
      </c>
    </row>
    <row r="112" spans="1:14" ht="12.75">
      <c r="A112" s="4" t="s">
        <v>215</v>
      </c>
      <c r="B112" s="2">
        <v>39973</v>
      </c>
      <c r="C112" s="1"/>
      <c r="F112">
        <v>6228305</v>
      </c>
      <c r="G112">
        <v>666734</v>
      </c>
      <c r="H112">
        <v>56.17055</v>
      </c>
      <c r="I112">
        <v>29.68561</v>
      </c>
      <c r="K112" s="14">
        <v>265</v>
      </c>
      <c r="L112" s="12">
        <v>7.2</v>
      </c>
      <c r="M112" s="12">
        <v>17.5</v>
      </c>
      <c r="N112" t="s">
        <v>251</v>
      </c>
    </row>
    <row r="113" spans="1:14" ht="12.75">
      <c r="A113" s="4" t="s">
        <v>216</v>
      </c>
      <c r="B113" s="2">
        <v>39973</v>
      </c>
      <c r="C113" s="1"/>
      <c r="F113">
        <v>6228603</v>
      </c>
      <c r="G113">
        <v>666500</v>
      </c>
      <c r="H113">
        <v>56.17326</v>
      </c>
      <c r="I113">
        <v>29.68251</v>
      </c>
      <c r="K113" s="14">
        <v>245</v>
      </c>
      <c r="L113" s="12">
        <v>6.95</v>
      </c>
      <c r="M113" s="12">
        <v>15.3</v>
      </c>
      <c r="N113" t="s">
        <v>252</v>
      </c>
    </row>
    <row r="114" spans="1:14" ht="12.75">
      <c r="A114" s="4" t="s">
        <v>217</v>
      </c>
      <c r="B114" s="2">
        <v>39973</v>
      </c>
      <c r="C114" s="1"/>
      <c r="F114">
        <v>6225634</v>
      </c>
      <c r="G114">
        <v>666513</v>
      </c>
      <c r="H114">
        <v>56.17355</v>
      </c>
      <c r="I114">
        <v>29.68226</v>
      </c>
      <c r="K114" s="14">
        <v>302</v>
      </c>
      <c r="L114" s="12">
        <v>7.1</v>
      </c>
      <c r="M114" s="12">
        <v>14.7</v>
      </c>
      <c r="N114" t="s">
        <v>253</v>
      </c>
    </row>
    <row r="115" spans="1:14" ht="12.75">
      <c r="A115" s="4" t="s">
        <v>218</v>
      </c>
      <c r="B115" s="2">
        <v>39973</v>
      </c>
      <c r="C115" s="1"/>
      <c r="F115">
        <v>6228660</v>
      </c>
      <c r="G115">
        <v>666518</v>
      </c>
      <c r="H115">
        <v>56.17377</v>
      </c>
      <c r="I115">
        <v>29.68235</v>
      </c>
      <c r="K115" s="14">
        <v>120</v>
      </c>
      <c r="L115" s="12">
        <v>6.74</v>
      </c>
      <c r="M115" s="12">
        <v>21.7</v>
      </c>
      <c r="N115" t="s">
        <v>254</v>
      </c>
    </row>
    <row r="116" spans="1:14" ht="12.75">
      <c r="A116" s="4" t="s">
        <v>219</v>
      </c>
      <c r="B116" s="2">
        <v>39973</v>
      </c>
      <c r="C116" s="1"/>
      <c r="F116">
        <v>6228721</v>
      </c>
      <c r="G116">
        <v>666389</v>
      </c>
      <c r="H116">
        <v>56.17437</v>
      </c>
      <c r="I116">
        <v>29.68032</v>
      </c>
      <c r="K116" s="14">
        <v>133</v>
      </c>
      <c r="L116" s="12">
        <v>6.53</v>
      </c>
      <c r="M116" s="12">
        <v>17.3</v>
      </c>
      <c r="N116" t="s">
        <v>255</v>
      </c>
    </row>
    <row r="117" spans="1:14" ht="12.75">
      <c r="A117" s="4" t="s">
        <v>220</v>
      </c>
      <c r="B117" s="2">
        <v>39973</v>
      </c>
      <c r="C117" s="1"/>
      <c r="F117">
        <v>6228718</v>
      </c>
      <c r="G117">
        <v>666345</v>
      </c>
      <c r="H117">
        <v>56.17435</v>
      </c>
      <c r="I117">
        <v>29.67965</v>
      </c>
      <c r="K117" s="14">
        <v>183</v>
      </c>
      <c r="L117" s="12">
        <v>6.66</v>
      </c>
      <c r="M117" s="12">
        <v>15.6</v>
      </c>
      <c r="N117" t="s">
        <v>256</v>
      </c>
    </row>
    <row r="118" spans="1:14" ht="12.75">
      <c r="A118" s="4" t="s">
        <v>221</v>
      </c>
      <c r="B118" s="2">
        <v>39973</v>
      </c>
      <c r="C118" s="1"/>
      <c r="F118">
        <v>6228600</v>
      </c>
      <c r="G118">
        <v>666099</v>
      </c>
      <c r="H118">
        <v>56.17338</v>
      </c>
      <c r="I118">
        <v>29.67558</v>
      </c>
      <c r="K118" s="14">
        <v>130</v>
      </c>
      <c r="L118" s="12">
        <v>7.1</v>
      </c>
      <c r="M118" s="12">
        <v>14.2</v>
      </c>
      <c r="N118" t="s">
        <v>257</v>
      </c>
    </row>
    <row r="119" spans="1:14" ht="12.75">
      <c r="A119" s="4" t="s">
        <v>222</v>
      </c>
      <c r="B119" s="2">
        <v>39973</v>
      </c>
      <c r="C119" s="1"/>
      <c r="F119">
        <v>6228758</v>
      </c>
      <c r="G119">
        <v>665984</v>
      </c>
      <c r="H119">
        <v>56.17485</v>
      </c>
      <c r="I119">
        <v>29.67382</v>
      </c>
      <c r="K119" s="14">
        <v>205</v>
      </c>
      <c r="L119" s="12">
        <v>7.13</v>
      </c>
      <c r="M119" s="12">
        <v>18</v>
      </c>
      <c r="N119" t="s">
        <v>258</v>
      </c>
    </row>
    <row r="120" spans="1:14" ht="12.75">
      <c r="A120" s="4" t="s">
        <v>223</v>
      </c>
      <c r="B120" s="2">
        <v>39973</v>
      </c>
      <c r="C120" s="1"/>
      <c r="F120">
        <v>6229233</v>
      </c>
      <c r="G120">
        <v>665889</v>
      </c>
      <c r="H120">
        <v>56.17914</v>
      </c>
      <c r="I120">
        <v>29.67245</v>
      </c>
      <c r="K120" s="14">
        <v>108</v>
      </c>
      <c r="L120" s="12">
        <v>7.76</v>
      </c>
      <c r="M120" s="12">
        <v>18</v>
      </c>
      <c r="N120" t="s">
        <v>259</v>
      </c>
    </row>
    <row r="121" spans="1:14" ht="12.75">
      <c r="A121" s="4" t="s">
        <v>224</v>
      </c>
      <c r="B121" s="2">
        <v>39973</v>
      </c>
      <c r="C121" s="1"/>
      <c r="F121">
        <v>6229448</v>
      </c>
      <c r="G121">
        <v>665790</v>
      </c>
      <c r="H121">
        <v>56.18111</v>
      </c>
      <c r="I121">
        <v>29.67113</v>
      </c>
      <c r="K121" s="14">
        <v>40</v>
      </c>
      <c r="L121" s="12">
        <v>7.5</v>
      </c>
      <c r="M121" s="12">
        <v>18.8</v>
      </c>
      <c r="N121" t="s">
        <v>260</v>
      </c>
    </row>
    <row r="122" spans="1:14" ht="12.75">
      <c r="A122" s="4" t="s">
        <v>225</v>
      </c>
      <c r="B122" s="2">
        <v>39973</v>
      </c>
      <c r="C122" s="1"/>
      <c r="F122">
        <v>6229686</v>
      </c>
      <c r="G122">
        <v>665711</v>
      </c>
      <c r="H122">
        <v>56.18327</v>
      </c>
      <c r="I122">
        <v>29.67002</v>
      </c>
      <c r="K122" s="14">
        <v>39</v>
      </c>
      <c r="L122" s="12">
        <v>7.7</v>
      </c>
      <c r="M122" s="12">
        <v>17.5</v>
      </c>
      <c r="N122" t="s">
        <v>260</v>
      </c>
    </row>
    <row r="123" spans="1:14" ht="12.75">
      <c r="A123" s="4" t="s">
        <v>226</v>
      </c>
      <c r="B123" s="2">
        <v>39973</v>
      </c>
      <c r="C123" s="1"/>
      <c r="F123">
        <v>6230233</v>
      </c>
      <c r="G123">
        <v>665747</v>
      </c>
      <c r="H123">
        <v>56.1881</v>
      </c>
      <c r="I123">
        <v>29.67415</v>
      </c>
      <c r="K123" s="14">
        <v>228</v>
      </c>
      <c r="L123" s="12">
        <v>7.23</v>
      </c>
      <c r="M123" s="12">
        <v>21.9</v>
      </c>
      <c r="N123" t="s">
        <v>260</v>
      </c>
    </row>
    <row r="124" spans="1:14" ht="12.75">
      <c r="A124" s="4" t="s">
        <v>283</v>
      </c>
      <c r="B124" s="2">
        <v>39974</v>
      </c>
      <c r="C124" s="1"/>
      <c r="F124">
        <v>6230954</v>
      </c>
      <c r="G124">
        <v>665621</v>
      </c>
      <c r="H124">
        <v>56.19473</v>
      </c>
      <c r="I124">
        <v>29.66936</v>
      </c>
      <c r="K124" s="14">
        <v>277</v>
      </c>
      <c r="L124" s="12">
        <v>8.69</v>
      </c>
      <c r="M124" s="12">
        <v>19.5</v>
      </c>
      <c r="N124" t="s">
        <v>309</v>
      </c>
    </row>
    <row r="125" spans="1:14" ht="12.75">
      <c r="A125" s="4" t="s">
        <v>284</v>
      </c>
      <c r="B125" s="2">
        <v>39974</v>
      </c>
      <c r="C125" s="1"/>
      <c r="F125">
        <v>6230855</v>
      </c>
      <c r="G125">
        <v>665517</v>
      </c>
      <c r="H125">
        <v>56.19383</v>
      </c>
      <c r="I125">
        <v>29.66761</v>
      </c>
      <c r="K125" s="14">
        <v>162</v>
      </c>
      <c r="L125" s="12">
        <v>8.17</v>
      </c>
      <c r="M125" s="12">
        <v>16.7</v>
      </c>
      <c r="N125" t="s">
        <v>310</v>
      </c>
    </row>
    <row r="126" spans="1:14" ht="12.75">
      <c r="A126" s="4" t="s">
        <v>285</v>
      </c>
      <c r="B126" s="2">
        <v>39974</v>
      </c>
      <c r="C126" s="1"/>
      <c r="F126">
        <v>6230709</v>
      </c>
      <c r="G126">
        <v>665127</v>
      </c>
      <c r="H126">
        <v>56.19265</v>
      </c>
      <c r="I126">
        <v>29.66124</v>
      </c>
      <c r="K126" s="14">
        <v>127</v>
      </c>
      <c r="L126" s="12">
        <v>7.96</v>
      </c>
      <c r="M126" s="12">
        <v>17.2</v>
      </c>
      <c r="N126" t="s">
        <v>311</v>
      </c>
    </row>
    <row r="127" spans="1:14" ht="12.75">
      <c r="A127" s="4" t="s">
        <v>286</v>
      </c>
      <c r="B127" s="2">
        <v>39974</v>
      </c>
      <c r="C127" s="1"/>
      <c r="F127">
        <v>6230700</v>
      </c>
      <c r="G127">
        <v>665113</v>
      </c>
      <c r="H127">
        <v>56.19258</v>
      </c>
      <c r="I127">
        <v>29.66102</v>
      </c>
      <c r="K127" s="14">
        <v>153</v>
      </c>
      <c r="L127" s="12">
        <v>8.23</v>
      </c>
      <c r="M127" s="12">
        <v>19.1</v>
      </c>
      <c r="N127" t="s">
        <v>312</v>
      </c>
    </row>
    <row r="128" spans="1:14" ht="12.75">
      <c r="A128" s="4" t="s">
        <v>287</v>
      </c>
      <c r="B128" s="2">
        <v>39974</v>
      </c>
      <c r="C128" s="1"/>
      <c r="F128">
        <v>6230160</v>
      </c>
      <c r="G128">
        <v>665170</v>
      </c>
      <c r="H128">
        <v>56.18771</v>
      </c>
      <c r="I128">
        <v>29.6616</v>
      </c>
      <c r="K128" s="14">
        <v>180</v>
      </c>
      <c r="L128" s="12">
        <v>7.7</v>
      </c>
      <c r="M128" s="12">
        <v>19.5</v>
      </c>
      <c r="N128" t="s">
        <v>313</v>
      </c>
    </row>
    <row r="129" spans="1:14" ht="12.75">
      <c r="A129" s="4" t="s">
        <v>288</v>
      </c>
      <c r="B129" s="2">
        <v>39974</v>
      </c>
      <c r="C129" s="1"/>
      <c r="F129">
        <v>6230137</v>
      </c>
      <c r="G129">
        <v>665117</v>
      </c>
      <c r="H129">
        <v>56.18751</v>
      </c>
      <c r="I129">
        <v>29.66169</v>
      </c>
      <c r="K129" s="14">
        <v>185</v>
      </c>
      <c r="L129" s="12">
        <v>7.98</v>
      </c>
      <c r="M129" s="12">
        <v>19.3</v>
      </c>
      <c r="N129" t="s">
        <v>373</v>
      </c>
    </row>
    <row r="130" spans="1:14" ht="12.75">
      <c r="A130" s="4" t="s">
        <v>289</v>
      </c>
      <c r="B130" s="2">
        <v>39974</v>
      </c>
      <c r="C130" s="1"/>
      <c r="F130">
        <v>6228322</v>
      </c>
      <c r="G130">
        <v>664902</v>
      </c>
      <c r="H130">
        <v>56.1713</v>
      </c>
      <c r="I130">
        <v>29.65624</v>
      </c>
      <c r="K130" s="14">
        <v>175</v>
      </c>
      <c r="L130" s="12">
        <v>7.9</v>
      </c>
      <c r="M130" s="12">
        <v>19.2</v>
      </c>
      <c r="N130" t="s">
        <v>314</v>
      </c>
    </row>
    <row r="131" spans="1:14" ht="12.75">
      <c r="A131" s="4" t="s">
        <v>290</v>
      </c>
      <c r="B131" s="2">
        <v>39974</v>
      </c>
      <c r="C131" s="1"/>
      <c r="F131">
        <v>6228296</v>
      </c>
      <c r="G131">
        <v>664853</v>
      </c>
      <c r="H131">
        <v>56.17109</v>
      </c>
      <c r="I131">
        <v>29.65534</v>
      </c>
      <c r="K131" s="14">
        <v>177</v>
      </c>
      <c r="L131" s="12">
        <v>8.1</v>
      </c>
      <c r="M131" s="12">
        <v>18.3</v>
      </c>
      <c r="N131" t="s">
        <v>315</v>
      </c>
    </row>
    <row r="132" spans="1:14" ht="12.75">
      <c r="A132" s="4" t="s">
        <v>291</v>
      </c>
      <c r="B132" s="2">
        <v>39974</v>
      </c>
      <c r="C132" s="1"/>
      <c r="F132">
        <v>6228266</v>
      </c>
      <c r="G132">
        <v>664803</v>
      </c>
      <c r="H132">
        <v>56.17084</v>
      </c>
      <c r="I132">
        <v>29.65452</v>
      </c>
      <c r="K132" s="14">
        <v>176</v>
      </c>
      <c r="L132" s="12">
        <v>8.24</v>
      </c>
      <c r="M132" s="12">
        <v>19</v>
      </c>
      <c r="N132" t="s">
        <v>316</v>
      </c>
    </row>
    <row r="133" spans="1:14" ht="12.75">
      <c r="A133" s="4" t="s">
        <v>292</v>
      </c>
      <c r="B133" s="2">
        <v>39974</v>
      </c>
      <c r="C133" s="1"/>
      <c r="F133">
        <v>6227630</v>
      </c>
      <c r="G133">
        <v>664644</v>
      </c>
      <c r="H133">
        <v>56.16519</v>
      </c>
      <c r="I133">
        <v>29.65157</v>
      </c>
      <c r="K133" s="14">
        <v>625</v>
      </c>
      <c r="L133" s="12">
        <v>8.06</v>
      </c>
      <c r="M133" s="12">
        <v>14.5</v>
      </c>
      <c r="N133" t="s">
        <v>317</v>
      </c>
    </row>
    <row r="134" spans="1:14" ht="12.75">
      <c r="A134" s="4" t="s">
        <v>293</v>
      </c>
      <c r="B134" s="2">
        <v>39974</v>
      </c>
      <c r="C134" s="1"/>
      <c r="F134">
        <v>6227611</v>
      </c>
      <c r="G134">
        <v>664634</v>
      </c>
      <c r="H134">
        <v>56.16502</v>
      </c>
      <c r="I134">
        <v>29.6514</v>
      </c>
      <c r="K134" s="14">
        <v>203</v>
      </c>
      <c r="L134" s="12">
        <v>8.05</v>
      </c>
      <c r="M134" s="12">
        <v>17.6</v>
      </c>
      <c r="N134" t="s">
        <v>318</v>
      </c>
    </row>
    <row r="135" spans="1:14" ht="12.75">
      <c r="A135" s="4" t="s">
        <v>294</v>
      </c>
      <c r="B135" s="2">
        <v>39974</v>
      </c>
      <c r="C135" s="1"/>
      <c r="F135">
        <v>6227680</v>
      </c>
      <c r="G135">
        <v>664842</v>
      </c>
      <c r="H135">
        <v>56.16557</v>
      </c>
      <c r="I135">
        <v>29.65478</v>
      </c>
      <c r="K135" s="14">
        <v>174</v>
      </c>
      <c r="L135" s="12">
        <v>7.98</v>
      </c>
      <c r="M135" s="12">
        <v>20.8</v>
      </c>
      <c r="N135" t="s">
        <v>319</v>
      </c>
    </row>
    <row r="136" spans="1:14" ht="12.75">
      <c r="A136" s="4" t="s">
        <v>295</v>
      </c>
      <c r="B136" s="2">
        <v>39974</v>
      </c>
      <c r="C136" s="1"/>
      <c r="F136">
        <v>6227472</v>
      </c>
      <c r="G136">
        <v>664656</v>
      </c>
      <c r="H136">
        <v>56.16376</v>
      </c>
      <c r="I136">
        <v>29.65167</v>
      </c>
      <c r="K136" s="14">
        <v>214</v>
      </c>
      <c r="L136" s="12">
        <v>7.5</v>
      </c>
      <c r="M136" s="12">
        <v>24.4</v>
      </c>
      <c r="N136" t="s">
        <v>320</v>
      </c>
    </row>
    <row r="137" spans="1:14" ht="12.75">
      <c r="A137" s="4" t="s">
        <v>296</v>
      </c>
      <c r="B137" s="2">
        <v>39974</v>
      </c>
      <c r="C137" s="1"/>
      <c r="F137">
        <v>6226734</v>
      </c>
      <c r="G137">
        <v>664778</v>
      </c>
      <c r="H137">
        <v>56.15707</v>
      </c>
      <c r="I137">
        <v>29.65316</v>
      </c>
      <c r="K137" s="14">
        <v>54</v>
      </c>
      <c r="L137" s="12">
        <v>7.96</v>
      </c>
      <c r="M137" s="12">
        <v>25</v>
      </c>
      <c r="N137" t="s">
        <v>321</v>
      </c>
    </row>
    <row r="138" spans="1:14" ht="12.75">
      <c r="A138" s="4" t="s">
        <v>297</v>
      </c>
      <c r="B138" s="2">
        <v>39974</v>
      </c>
      <c r="C138" s="1"/>
      <c r="F138">
        <v>6226729</v>
      </c>
      <c r="G138">
        <v>664782</v>
      </c>
      <c r="H138">
        <v>56.15705</v>
      </c>
      <c r="I138">
        <v>29.65323</v>
      </c>
      <c r="K138" s="14">
        <v>89</v>
      </c>
      <c r="L138" s="12">
        <v>6.7</v>
      </c>
      <c r="M138" s="12">
        <v>25.8</v>
      </c>
      <c r="N138" t="s">
        <v>322</v>
      </c>
    </row>
    <row r="139" spans="1:14" ht="12.75">
      <c r="A139" s="4" t="s">
        <v>298</v>
      </c>
      <c r="B139" s="2">
        <v>39974</v>
      </c>
      <c r="C139" s="1"/>
      <c r="F139">
        <v>6226705</v>
      </c>
      <c r="G139">
        <v>664802</v>
      </c>
      <c r="H139">
        <v>56.15683</v>
      </c>
      <c r="I139">
        <v>29.65353</v>
      </c>
      <c r="K139" s="14">
        <v>166</v>
      </c>
      <c r="L139" s="12">
        <v>6.93</v>
      </c>
      <c r="M139" s="12">
        <v>26</v>
      </c>
      <c r="N139" t="s">
        <v>323</v>
      </c>
    </row>
    <row r="140" spans="1:14" ht="12.75">
      <c r="A140" s="4" t="s">
        <v>299</v>
      </c>
      <c r="B140" s="2">
        <v>39974</v>
      </c>
      <c r="C140" s="1"/>
      <c r="F140">
        <v>6226620</v>
      </c>
      <c r="G140">
        <v>664869</v>
      </c>
      <c r="H140">
        <v>56.15604</v>
      </c>
      <c r="I140">
        <v>29.65455</v>
      </c>
      <c r="K140" s="14">
        <v>223</v>
      </c>
      <c r="L140" s="12">
        <v>7.3</v>
      </c>
      <c r="M140" s="12">
        <v>24</v>
      </c>
      <c r="N140" t="s">
        <v>324</v>
      </c>
    </row>
    <row r="141" spans="1:14" ht="12.75">
      <c r="A141" s="4" t="s">
        <v>300</v>
      </c>
      <c r="B141" s="2">
        <v>39974</v>
      </c>
      <c r="C141" s="1"/>
      <c r="F141">
        <v>6226499</v>
      </c>
      <c r="G141">
        <v>664959</v>
      </c>
      <c r="H141">
        <v>56.15488</v>
      </c>
      <c r="I141">
        <v>29.65593</v>
      </c>
      <c r="K141" s="14">
        <v>280</v>
      </c>
      <c r="L141" s="12">
        <v>7.99</v>
      </c>
      <c r="M141" s="12">
        <v>21.5</v>
      </c>
      <c r="N141" t="s">
        <v>326</v>
      </c>
    </row>
    <row r="142" spans="1:14" ht="12.75">
      <c r="A142" s="4" t="s">
        <v>301</v>
      </c>
      <c r="B142" s="2">
        <v>39974</v>
      </c>
      <c r="C142" s="1"/>
      <c r="F142">
        <v>6226167</v>
      </c>
      <c r="G142">
        <v>665156</v>
      </c>
      <c r="H142">
        <v>56.15189</v>
      </c>
      <c r="I142">
        <v>29.65889</v>
      </c>
      <c r="K142" s="14">
        <v>157</v>
      </c>
      <c r="L142" s="12">
        <v>7.9</v>
      </c>
      <c r="M142" s="12">
        <v>22.5</v>
      </c>
      <c r="N142" t="s">
        <v>325</v>
      </c>
    </row>
    <row r="143" spans="1:14" ht="12.75">
      <c r="A143" s="4" t="s">
        <v>302</v>
      </c>
      <c r="B143" s="2">
        <v>39974</v>
      </c>
      <c r="C143" s="1"/>
      <c r="F143">
        <v>6226317</v>
      </c>
      <c r="G143">
        <v>665011</v>
      </c>
      <c r="H143">
        <v>56.15328</v>
      </c>
      <c r="I143">
        <v>29.65665</v>
      </c>
      <c r="K143" s="14">
        <v>164</v>
      </c>
      <c r="L143" s="12">
        <v>7.5</v>
      </c>
      <c r="M143" s="12">
        <v>24.8</v>
      </c>
      <c r="N143" t="s">
        <v>327</v>
      </c>
    </row>
    <row r="144" spans="1:14" ht="12.75">
      <c r="A144" s="4" t="s">
        <v>303</v>
      </c>
      <c r="B144" s="2">
        <v>39974</v>
      </c>
      <c r="C144" s="1"/>
      <c r="F144">
        <v>6226844</v>
      </c>
      <c r="G144">
        <v>664985</v>
      </c>
      <c r="H144">
        <v>56.15802</v>
      </c>
      <c r="I144">
        <v>29.65656</v>
      </c>
      <c r="K144" s="14">
        <v>165</v>
      </c>
      <c r="L144" s="12">
        <v>8.01</v>
      </c>
      <c r="M144" s="12">
        <v>23.2</v>
      </c>
      <c r="N144" t="s">
        <v>328</v>
      </c>
    </row>
    <row r="145" spans="1:14" ht="12.75">
      <c r="A145" s="4" t="s">
        <v>304</v>
      </c>
      <c r="B145" s="2">
        <v>39974</v>
      </c>
      <c r="C145" s="1"/>
      <c r="F145">
        <v>6226983</v>
      </c>
      <c r="G145">
        <v>664915</v>
      </c>
      <c r="K145" s="14">
        <v>65</v>
      </c>
      <c r="L145" s="12">
        <v>8.2</v>
      </c>
      <c r="M145" s="12">
        <v>25.7</v>
      </c>
      <c r="N145" t="s">
        <v>329</v>
      </c>
    </row>
    <row r="146" spans="1:14" ht="12.75">
      <c r="A146" s="4" t="s">
        <v>305</v>
      </c>
      <c r="B146" s="2">
        <v>39974</v>
      </c>
      <c r="C146" s="1"/>
      <c r="F146">
        <v>6227444</v>
      </c>
      <c r="G146">
        <v>664935</v>
      </c>
      <c r="H146">
        <v>56.16339</v>
      </c>
      <c r="I146">
        <v>29.65613</v>
      </c>
      <c r="K146" s="14">
        <v>207</v>
      </c>
      <c r="L146" s="12">
        <v>8.4</v>
      </c>
      <c r="M146" s="12">
        <v>24.3</v>
      </c>
      <c r="N146" t="s">
        <v>330</v>
      </c>
    </row>
    <row r="147" spans="1:14" ht="12.75">
      <c r="A147" s="4" t="s">
        <v>306</v>
      </c>
      <c r="B147" s="2">
        <v>39974</v>
      </c>
      <c r="C147" s="1"/>
      <c r="F147">
        <v>6227635</v>
      </c>
      <c r="G147">
        <v>664620</v>
      </c>
      <c r="H147">
        <v>56.16524</v>
      </c>
      <c r="I147">
        <v>29.65118</v>
      </c>
      <c r="K147" s="14">
        <v>620</v>
      </c>
      <c r="L147" s="12">
        <v>7.44</v>
      </c>
      <c r="M147" s="12">
        <v>26</v>
      </c>
      <c r="N147" t="s">
        <v>331</v>
      </c>
    </row>
    <row r="148" spans="1:14" ht="12.75">
      <c r="A148" s="4" t="s">
        <v>307</v>
      </c>
      <c r="B148" s="2">
        <v>39974</v>
      </c>
      <c r="C148" s="1"/>
      <c r="F148">
        <v>6227887</v>
      </c>
      <c r="G148">
        <v>664699</v>
      </c>
      <c r="H148">
        <v>56.16747</v>
      </c>
      <c r="I148">
        <v>29.65261</v>
      </c>
      <c r="K148" s="14">
        <v>167</v>
      </c>
      <c r="L148" s="12">
        <v>8.04</v>
      </c>
      <c r="M148" s="12">
        <v>25.2</v>
      </c>
      <c r="N148" t="s">
        <v>332</v>
      </c>
    </row>
    <row r="149" spans="1:9" ht="12.75">
      <c r="A149" s="4" t="s">
        <v>308</v>
      </c>
      <c r="B149" s="2">
        <v>39974</v>
      </c>
      <c r="C149" s="1"/>
      <c r="H149">
        <v>56.20146</v>
      </c>
      <c r="I149">
        <v>29.64839</v>
      </c>
    </row>
    <row r="150" spans="1:3" ht="12.75">
      <c r="A150" s="4"/>
      <c r="B150" s="2"/>
      <c r="C150" s="1"/>
    </row>
    <row r="151" spans="1:3" ht="12.75">
      <c r="A151" s="4"/>
      <c r="B151" s="2"/>
      <c r="C151" s="1"/>
    </row>
    <row r="152" spans="1:3" ht="12.75">
      <c r="A152" s="4"/>
      <c r="B152" s="2"/>
      <c r="C152" s="1"/>
    </row>
    <row r="153" spans="1:3" ht="12.75">
      <c r="A153" s="4"/>
      <c r="B153" s="2"/>
      <c r="C153" s="1"/>
    </row>
    <row r="154" spans="1:3" ht="12.75">
      <c r="A154" s="4"/>
      <c r="B154" s="2"/>
      <c r="C154" s="1"/>
    </row>
    <row r="155" spans="1:3" ht="12.75">
      <c r="A155" s="4"/>
      <c r="B155" s="2"/>
      <c r="C155" s="1"/>
    </row>
    <row r="156" spans="1:3" ht="12.75">
      <c r="A156" s="4"/>
      <c r="B156" s="2"/>
      <c r="C156" s="1"/>
    </row>
    <row r="157" spans="1:3" ht="12.75">
      <c r="A157" s="4"/>
      <c r="B157" s="2"/>
      <c r="C157" s="1"/>
    </row>
    <row r="158" spans="1:13" ht="12.75">
      <c r="A158" s="4" t="s">
        <v>347</v>
      </c>
      <c r="B158" s="2">
        <v>39975</v>
      </c>
      <c r="C158" s="1"/>
      <c r="F158">
        <v>6231755</v>
      </c>
      <c r="G158">
        <v>665022</v>
      </c>
      <c r="H158">
        <v>56.20208</v>
      </c>
      <c r="I158">
        <v>29.6602</v>
      </c>
      <c r="K158" s="14">
        <v>127</v>
      </c>
      <c r="L158" s="12">
        <v>8.02</v>
      </c>
      <c r="M158" s="12">
        <v>19.3</v>
      </c>
    </row>
    <row r="159" spans="1:13" ht="12.75">
      <c r="A159" s="4" t="s">
        <v>348</v>
      </c>
      <c r="B159" s="2">
        <v>39975</v>
      </c>
      <c r="C159" s="1"/>
      <c r="F159">
        <v>6231742</v>
      </c>
      <c r="G159">
        <v>665016</v>
      </c>
      <c r="H159">
        <v>56.20196</v>
      </c>
      <c r="I159">
        <v>29.66011</v>
      </c>
      <c r="K159" s="14">
        <v>131</v>
      </c>
      <c r="L159" s="12">
        <v>7.56</v>
      </c>
      <c r="M159" s="12">
        <v>18.9</v>
      </c>
    </row>
    <row r="160" spans="1:13" ht="12.75">
      <c r="A160" s="4" t="s">
        <v>349</v>
      </c>
      <c r="B160" s="2">
        <v>39975</v>
      </c>
      <c r="C160" s="1"/>
      <c r="F160">
        <v>6231721</v>
      </c>
      <c r="G160">
        <v>665006</v>
      </c>
      <c r="H160">
        <v>56.20178</v>
      </c>
      <c r="I160">
        <v>29.65993</v>
      </c>
      <c r="K160" s="14">
        <v>126</v>
      </c>
      <c r="L160" s="12">
        <v>7.76</v>
      </c>
      <c r="M160" s="12">
        <v>19</v>
      </c>
    </row>
    <row r="161" spans="1:13" ht="12.75">
      <c r="A161" s="4" t="s">
        <v>350</v>
      </c>
      <c r="B161" s="2">
        <v>39975</v>
      </c>
      <c r="C161" s="1"/>
      <c r="F161">
        <v>6231695</v>
      </c>
      <c r="G161">
        <v>664995</v>
      </c>
      <c r="H161">
        <v>56.20154</v>
      </c>
      <c r="I161">
        <v>29.65974</v>
      </c>
      <c r="K161" s="14">
        <v>127</v>
      </c>
      <c r="L161" s="12">
        <v>7.78</v>
      </c>
      <c r="M161" s="12">
        <v>19.5</v>
      </c>
    </row>
    <row r="162" spans="1:14" ht="12.75">
      <c r="A162" s="4" t="s">
        <v>351</v>
      </c>
      <c r="B162" s="2">
        <v>39975</v>
      </c>
      <c r="C162" s="1"/>
      <c r="F162">
        <v>6231682</v>
      </c>
      <c r="G162">
        <v>664990</v>
      </c>
      <c r="H162">
        <v>56.20143</v>
      </c>
      <c r="I162">
        <v>29.65965</v>
      </c>
      <c r="K162" s="14">
        <v>125</v>
      </c>
      <c r="L162" s="12">
        <v>7.81</v>
      </c>
      <c r="M162" s="12">
        <v>19.5</v>
      </c>
      <c r="N162" t="s">
        <v>333</v>
      </c>
    </row>
    <row r="163" spans="1:14" ht="12.75">
      <c r="A163" s="4" t="s">
        <v>352</v>
      </c>
      <c r="B163" s="2">
        <v>39975</v>
      </c>
      <c r="C163" s="1"/>
      <c r="F163">
        <v>6231682</v>
      </c>
      <c r="G163">
        <v>665009</v>
      </c>
      <c r="H163">
        <v>56.20142</v>
      </c>
      <c r="I163">
        <v>29.65995</v>
      </c>
      <c r="K163" s="14">
        <v>123</v>
      </c>
      <c r="L163" s="12">
        <v>7.89</v>
      </c>
      <c r="M163" s="12">
        <v>18.9</v>
      </c>
      <c r="N163" t="s">
        <v>334</v>
      </c>
    </row>
    <row r="164" spans="1:14" ht="12.75">
      <c r="A164" s="4" t="s">
        <v>353</v>
      </c>
      <c r="B164" s="2">
        <v>39975</v>
      </c>
      <c r="C164" s="1"/>
      <c r="F164">
        <v>6231688</v>
      </c>
      <c r="G164">
        <v>665011</v>
      </c>
      <c r="H164">
        <v>56.20148</v>
      </c>
      <c r="I164">
        <v>29.65999</v>
      </c>
      <c r="K164" s="14">
        <v>83</v>
      </c>
      <c r="L164" s="12">
        <v>7.6</v>
      </c>
      <c r="M164" s="12">
        <v>18.2</v>
      </c>
      <c r="N164" t="s">
        <v>335</v>
      </c>
    </row>
    <row r="165" spans="1:14" ht="12.75">
      <c r="A165" s="4" t="s">
        <v>354</v>
      </c>
      <c r="B165" s="2">
        <v>39975</v>
      </c>
      <c r="C165" s="1"/>
      <c r="F165">
        <v>6231694</v>
      </c>
      <c r="G165">
        <v>665035</v>
      </c>
      <c r="H165">
        <v>56.20153</v>
      </c>
      <c r="I165">
        <v>29.66038</v>
      </c>
      <c r="K165" s="14">
        <v>98</v>
      </c>
      <c r="L165" s="12">
        <v>6.66</v>
      </c>
      <c r="M165" s="12">
        <v>17.7</v>
      </c>
      <c r="N165" t="s">
        <v>336</v>
      </c>
    </row>
    <row r="166" spans="1:13" ht="12.75">
      <c r="A166" s="4" t="s">
        <v>355</v>
      </c>
      <c r="B166" s="2">
        <v>39975</v>
      </c>
      <c r="C166" s="1"/>
      <c r="F166">
        <v>6231685</v>
      </c>
      <c r="G166">
        <v>664985</v>
      </c>
      <c r="H166">
        <v>56.20146</v>
      </c>
      <c r="I166">
        <v>29.65956</v>
      </c>
      <c r="K166" s="14">
        <v>126</v>
      </c>
      <c r="L166" s="12">
        <v>7.68</v>
      </c>
      <c r="M166" s="12">
        <v>19.1</v>
      </c>
    </row>
    <row r="167" spans="1:13" ht="12.75">
      <c r="A167" s="4" t="s">
        <v>356</v>
      </c>
      <c r="B167" s="2">
        <v>39975</v>
      </c>
      <c r="C167" s="1"/>
      <c r="F167">
        <v>6231674</v>
      </c>
      <c r="G167">
        <v>664984</v>
      </c>
      <c r="H167">
        <v>56.20136</v>
      </c>
      <c r="I167">
        <v>29.65955</v>
      </c>
      <c r="K167" s="14">
        <v>124</v>
      </c>
      <c r="L167" s="12">
        <v>7.65</v>
      </c>
      <c r="M167" s="12">
        <v>19.7</v>
      </c>
    </row>
    <row r="168" spans="1:14" ht="12.75">
      <c r="A168" s="4" t="s">
        <v>357</v>
      </c>
      <c r="B168" s="2">
        <v>39975</v>
      </c>
      <c r="C168" s="1"/>
      <c r="F168">
        <v>6231627</v>
      </c>
      <c r="G168">
        <v>664968</v>
      </c>
      <c r="H168">
        <v>56.20095</v>
      </c>
      <c r="I168">
        <v>29.65925</v>
      </c>
      <c r="K168" s="14">
        <v>126</v>
      </c>
      <c r="L168" s="12">
        <v>7.75</v>
      </c>
      <c r="M168" s="12">
        <v>19.5</v>
      </c>
      <c r="N168" t="s">
        <v>337</v>
      </c>
    </row>
    <row r="169" spans="1:13" ht="12.75">
      <c r="A169" s="4" t="s">
        <v>358</v>
      </c>
      <c r="B169" s="2">
        <v>39975</v>
      </c>
      <c r="C169" s="1"/>
      <c r="F169">
        <v>6231625</v>
      </c>
      <c r="G169">
        <v>664970</v>
      </c>
      <c r="H169">
        <v>56.20093</v>
      </c>
      <c r="I169">
        <v>29.6593</v>
      </c>
      <c r="K169" s="14">
        <v>126</v>
      </c>
      <c r="L169" s="12">
        <v>7.69</v>
      </c>
      <c r="M169" s="12">
        <v>19</v>
      </c>
    </row>
    <row r="170" spans="1:13" ht="12.75">
      <c r="A170" s="4" t="s">
        <v>359</v>
      </c>
      <c r="B170" s="2">
        <v>39975</v>
      </c>
      <c r="C170" s="1"/>
      <c r="F170">
        <v>6231585</v>
      </c>
      <c r="G170">
        <v>664936</v>
      </c>
      <c r="H170">
        <v>56.20058</v>
      </c>
      <c r="I170">
        <v>29.65872</v>
      </c>
      <c r="K170" s="14">
        <v>127</v>
      </c>
      <c r="L170" s="12">
        <v>7.72</v>
      </c>
      <c r="M170" s="12">
        <v>19</v>
      </c>
    </row>
    <row r="171" spans="1:13" ht="12.75">
      <c r="A171" s="4" t="s">
        <v>360</v>
      </c>
      <c r="B171" s="2">
        <v>39975</v>
      </c>
      <c r="C171" s="1"/>
      <c r="F171">
        <v>6231543</v>
      </c>
      <c r="G171">
        <v>664923</v>
      </c>
      <c r="H171">
        <v>56.20021</v>
      </c>
      <c r="I171">
        <v>29.65848</v>
      </c>
      <c r="K171" s="14">
        <v>124</v>
      </c>
      <c r="L171" s="12">
        <v>7.68</v>
      </c>
      <c r="M171" s="12">
        <v>19.7</v>
      </c>
    </row>
    <row r="172" spans="1:14" ht="12.75">
      <c r="A172" s="4" t="s">
        <v>361</v>
      </c>
      <c r="B172" s="2">
        <v>39975</v>
      </c>
      <c r="C172" s="1"/>
      <c r="F172">
        <v>6231539</v>
      </c>
      <c r="G172">
        <v>664903</v>
      </c>
      <c r="H172">
        <v>56.20018</v>
      </c>
      <c r="I172">
        <v>29.65815</v>
      </c>
      <c r="K172" s="14">
        <v>126</v>
      </c>
      <c r="L172" s="12">
        <v>7.79</v>
      </c>
      <c r="M172" s="12">
        <v>19.2</v>
      </c>
      <c r="N172" t="s">
        <v>338</v>
      </c>
    </row>
    <row r="173" spans="1:14" ht="12.75">
      <c r="A173" s="4" t="s">
        <v>362</v>
      </c>
      <c r="B173" s="2">
        <v>39975</v>
      </c>
      <c r="C173" s="1"/>
      <c r="F173">
        <v>6231539</v>
      </c>
      <c r="G173">
        <v>664903</v>
      </c>
      <c r="K173" s="14">
        <v>125</v>
      </c>
      <c r="L173" s="12">
        <v>7.64</v>
      </c>
      <c r="M173" s="12">
        <v>19.4</v>
      </c>
      <c r="N173" t="s">
        <v>339</v>
      </c>
    </row>
    <row r="174" spans="1:14" ht="12.75">
      <c r="A174" s="4" t="s">
        <v>363</v>
      </c>
      <c r="B174" s="2">
        <v>39975</v>
      </c>
      <c r="C174" s="1"/>
      <c r="F174">
        <v>6231521</v>
      </c>
      <c r="G174">
        <v>664908</v>
      </c>
      <c r="H174">
        <v>56.20002</v>
      </c>
      <c r="I174">
        <v>29.65823</v>
      </c>
      <c r="K174" s="14">
        <v>125</v>
      </c>
      <c r="L174" s="12">
        <v>7.68</v>
      </c>
      <c r="M174" s="12">
        <v>19.6</v>
      </c>
      <c r="N174" t="s">
        <v>340</v>
      </c>
    </row>
    <row r="175" spans="1:14" ht="12.75">
      <c r="A175" s="4" t="s">
        <v>364</v>
      </c>
      <c r="B175" s="2">
        <v>39975</v>
      </c>
      <c r="C175" s="1"/>
      <c r="F175">
        <v>6231521</v>
      </c>
      <c r="G175">
        <v>664908</v>
      </c>
      <c r="H175">
        <v>56.2</v>
      </c>
      <c r="I175">
        <v>29.65814</v>
      </c>
      <c r="K175" s="14">
        <v>127</v>
      </c>
      <c r="L175" s="12">
        <v>7.67</v>
      </c>
      <c r="M175" s="12">
        <v>19.6</v>
      </c>
      <c r="N175" t="s">
        <v>339</v>
      </c>
    </row>
    <row r="176" spans="1:14" ht="12.75">
      <c r="A176" s="4" t="s">
        <v>365</v>
      </c>
      <c r="B176" s="2">
        <v>39975</v>
      </c>
      <c r="C176" s="1"/>
      <c r="F176">
        <v>6231534</v>
      </c>
      <c r="G176">
        <v>664898</v>
      </c>
      <c r="H176">
        <v>56.20014</v>
      </c>
      <c r="I176">
        <v>29.65808</v>
      </c>
      <c r="K176" s="14">
        <v>124</v>
      </c>
      <c r="L176" s="12">
        <v>7.6</v>
      </c>
      <c r="M176" s="12">
        <v>18.9</v>
      </c>
      <c r="N176" t="s">
        <v>341</v>
      </c>
    </row>
    <row r="177" spans="1:13" ht="12.75">
      <c r="A177" s="4" t="s">
        <v>366</v>
      </c>
      <c r="B177" s="2">
        <v>39975</v>
      </c>
      <c r="C177" s="1"/>
      <c r="F177">
        <v>6231552</v>
      </c>
      <c r="G177">
        <v>664882</v>
      </c>
      <c r="H177">
        <v>56.2003</v>
      </c>
      <c r="I177">
        <v>29.65783</v>
      </c>
      <c r="K177" s="14">
        <v>125</v>
      </c>
      <c r="L177" s="12">
        <v>7.6</v>
      </c>
      <c r="M177" s="12">
        <v>19.7</v>
      </c>
    </row>
    <row r="178" spans="1:13" ht="12.75">
      <c r="A178" s="4" t="s">
        <v>367</v>
      </c>
      <c r="B178" s="2">
        <v>39975</v>
      </c>
      <c r="C178" s="1"/>
      <c r="F178">
        <v>6231493</v>
      </c>
      <c r="G178">
        <v>664857</v>
      </c>
      <c r="H178">
        <v>56.19978</v>
      </c>
      <c r="I178">
        <v>29.65768</v>
      </c>
      <c r="K178" s="14">
        <v>127</v>
      </c>
      <c r="L178" s="12">
        <v>7.46</v>
      </c>
      <c r="M178" s="12">
        <v>19.9</v>
      </c>
    </row>
    <row r="179" spans="1:13" ht="12.75">
      <c r="A179" s="4" t="s">
        <v>368</v>
      </c>
      <c r="B179" s="2">
        <v>39975</v>
      </c>
      <c r="C179" s="1"/>
      <c r="F179">
        <v>6231437</v>
      </c>
      <c r="G179">
        <v>664895</v>
      </c>
      <c r="H179">
        <v>56.19926</v>
      </c>
      <c r="I179">
        <v>29.65797</v>
      </c>
      <c r="K179" s="14">
        <v>127</v>
      </c>
      <c r="L179" s="12">
        <v>7.58</v>
      </c>
      <c r="M179" s="12">
        <v>20</v>
      </c>
    </row>
    <row r="180" spans="1:13" ht="12.75">
      <c r="A180" s="4" t="s">
        <v>369</v>
      </c>
      <c r="B180" s="2">
        <v>39975</v>
      </c>
      <c r="C180" s="1"/>
      <c r="F180">
        <v>6231407</v>
      </c>
      <c r="G180">
        <v>664892</v>
      </c>
      <c r="H180">
        <v>56.199</v>
      </c>
      <c r="I180">
        <v>29.6579</v>
      </c>
      <c r="K180" s="14">
        <v>127</v>
      </c>
      <c r="L180" s="12">
        <v>7.57</v>
      </c>
      <c r="M180" s="12">
        <v>18.8</v>
      </c>
    </row>
    <row r="181" spans="1:13" ht="12.75">
      <c r="A181" s="4" t="s">
        <v>370</v>
      </c>
      <c r="B181" s="2">
        <v>39975</v>
      </c>
      <c r="C181" s="1"/>
      <c r="F181">
        <v>6231290</v>
      </c>
      <c r="G181">
        <v>664952</v>
      </c>
      <c r="H181">
        <v>56.19883</v>
      </c>
      <c r="I181">
        <v>29.65886</v>
      </c>
      <c r="K181" s="14">
        <v>119</v>
      </c>
      <c r="L181" s="12">
        <v>6.75</v>
      </c>
      <c r="M181" s="12">
        <v>21.8</v>
      </c>
    </row>
    <row r="182" spans="1:13" ht="12.75">
      <c r="A182" s="4" t="s">
        <v>371</v>
      </c>
      <c r="B182" s="2">
        <v>39975</v>
      </c>
      <c r="C182" s="1"/>
      <c r="F182">
        <v>6231024</v>
      </c>
      <c r="G182">
        <v>665147</v>
      </c>
      <c r="H182">
        <v>56.19547</v>
      </c>
      <c r="I182">
        <v>29.66177</v>
      </c>
      <c r="K182" s="14">
        <v>334</v>
      </c>
      <c r="L182" s="12">
        <v>8.01</v>
      </c>
      <c r="M182" s="12">
        <v>25</v>
      </c>
    </row>
    <row r="183" spans="1:13" ht="12.75">
      <c r="A183" s="4" t="s">
        <v>372</v>
      </c>
      <c r="B183" s="2">
        <v>39975</v>
      </c>
      <c r="C183" s="1"/>
      <c r="F183">
        <v>6230708</v>
      </c>
      <c r="G183">
        <v>665122</v>
      </c>
      <c r="K183" s="14">
        <v>130</v>
      </c>
      <c r="L183" s="12">
        <v>7.5</v>
      </c>
      <c r="M183" s="12">
        <v>23</v>
      </c>
    </row>
    <row r="184" spans="3:13" ht="12.75">
      <c r="C184" s="1"/>
      <c r="L184" s="12"/>
      <c r="M184" s="12"/>
    </row>
    <row r="185" spans="1:13" ht="12.75">
      <c r="A185" s="4" t="s">
        <v>346</v>
      </c>
      <c r="B185" s="2">
        <v>39975</v>
      </c>
      <c r="C185" s="1"/>
      <c r="F185">
        <v>6231909</v>
      </c>
      <c r="G185">
        <v>670204</v>
      </c>
      <c r="K185" s="14">
        <v>300</v>
      </c>
      <c r="L185" s="12">
        <v>8.1</v>
      </c>
      <c r="M185" s="12">
        <v>17.7</v>
      </c>
    </row>
    <row r="186" spans="3:13" ht="12.75">
      <c r="C186" s="1"/>
      <c r="L186" s="12"/>
      <c r="M186" s="12"/>
    </row>
    <row r="187" spans="3:13" ht="12.75">
      <c r="C187" s="1"/>
      <c r="K187" s="12"/>
      <c r="L187" s="12"/>
      <c r="M187" s="12"/>
    </row>
    <row r="188" spans="3:13" ht="12.75">
      <c r="C188" s="1"/>
      <c r="K188" s="12"/>
      <c r="L188" s="12"/>
      <c r="M188" s="12"/>
    </row>
    <row r="189" spans="3:13" ht="12.75">
      <c r="C189" s="1"/>
      <c r="K189" s="12"/>
      <c r="L189" s="12"/>
      <c r="M189" s="14"/>
    </row>
    <row r="190" spans="3:13" ht="12.75">
      <c r="C190" s="1"/>
      <c r="K190" s="12"/>
      <c r="L190" s="12"/>
      <c r="M190" s="14"/>
    </row>
    <row r="191" spans="3:12" ht="12.75">
      <c r="C191" s="1"/>
      <c r="K191" s="12"/>
      <c r="L191" s="12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5" customHeight="1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spans="1:13" ht="12.75">
      <c r="A234" s="23"/>
      <c r="C234" s="1"/>
      <c r="L234" s="14"/>
      <c r="M234" s="14"/>
    </row>
    <row r="235" spans="1:13" ht="12.75">
      <c r="A235" s="23"/>
      <c r="C235" s="1"/>
      <c r="L235" s="14"/>
      <c r="M235" s="14"/>
    </row>
    <row r="236" spans="3:13" ht="12.75">
      <c r="C236" s="1"/>
      <c r="L236" s="14"/>
      <c r="M236" s="14"/>
    </row>
    <row r="237" spans="3:13" ht="12.75">
      <c r="C237" s="1"/>
      <c r="L237" s="14"/>
      <c r="M237" s="14"/>
    </row>
    <row r="238" spans="3:13" ht="12.75">
      <c r="C238" s="1"/>
      <c r="L238" s="14"/>
      <c r="M238" s="14"/>
    </row>
    <row r="239" spans="3:13" ht="12.75">
      <c r="C239" s="1"/>
      <c r="L239" s="14"/>
      <c r="M239" s="14"/>
    </row>
    <row r="240" spans="3:13" ht="12.75">
      <c r="C240" s="1"/>
      <c r="L240" s="14"/>
      <c r="M240" s="14"/>
    </row>
    <row r="241" spans="3:13" ht="12.75">
      <c r="C241" s="1"/>
      <c r="L241" s="14"/>
      <c r="M241" s="14"/>
    </row>
    <row r="242" spans="3:13" ht="12.75">
      <c r="C242" s="1"/>
      <c r="L242" s="14"/>
      <c r="M242" s="14"/>
    </row>
    <row r="243" spans="3:13" ht="12.75">
      <c r="C243" s="1"/>
      <c r="L243" s="14"/>
      <c r="M243" s="14"/>
    </row>
    <row r="244" spans="3:13" ht="12.75">
      <c r="C244" s="1"/>
      <c r="L244" s="14"/>
      <c r="M244" s="14"/>
    </row>
    <row r="245" spans="3:13" ht="12.75">
      <c r="C245" s="1"/>
      <c r="L245" s="14"/>
      <c r="M245" s="14"/>
    </row>
    <row r="246" spans="3:13" ht="12.75">
      <c r="C246" s="1"/>
      <c r="L246" s="14"/>
      <c r="M246" s="14"/>
    </row>
    <row r="247" spans="3:13" ht="12.75">
      <c r="C247" s="1"/>
      <c r="L247" s="14"/>
      <c r="M247" s="14"/>
    </row>
    <row r="248" spans="3:13" ht="12.75">
      <c r="C248" s="1"/>
      <c r="L248" s="14"/>
      <c r="M248" s="14"/>
    </row>
    <row r="249" spans="3:13" ht="12.75">
      <c r="C249" s="1"/>
      <c r="L249" s="14"/>
      <c r="M249" s="14"/>
    </row>
    <row r="250" spans="3:13" ht="12.75">
      <c r="C250" s="1"/>
      <c r="L250" s="14"/>
      <c r="M250" s="14"/>
    </row>
    <row r="251" spans="3:13" ht="12.75">
      <c r="C251" s="1"/>
      <c r="L251" s="14"/>
      <c r="M251" s="14"/>
    </row>
    <row r="252" spans="3:13" ht="12.75">
      <c r="C252" s="1"/>
      <c r="L252" s="14"/>
      <c r="M252" s="14"/>
    </row>
    <row r="253" spans="3:13" ht="12.75">
      <c r="C253" s="1"/>
      <c r="L253" s="14"/>
      <c r="M253" s="14"/>
    </row>
    <row r="254" spans="3:13" ht="12.75">
      <c r="C254" s="1"/>
      <c r="L254" s="14"/>
      <c r="M254" s="14"/>
    </row>
    <row r="255" spans="3:13" ht="12.75">
      <c r="C255" s="1"/>
      <c r="L255" s="14"/>
      <c r="M255" s="14"/>
    </row>
    <row r="256" spans="3:13" ht="12.75">
      <c r="C256" s="1"/>
      <c r="L256" s="14"/>
      <c r="M256" s="14"/>
    </row>
    <row r="257" spans="3:13" ht="12.75">
      <c r="C257" s="1"/>
      <c r="L257" s="14"/>
      <c r="M257" s="14"/>
    </row>
    <row r="258" spans="3:13" ht="12.75">
      <c r="C258" s="1"/>
      <c r="L258" s="14"/>
      <c r="M258" s="14"/>
    </row>
    <row r="259" spans="3:13" ht="12.75">
      <c r="C259" s="1"/>
      <c r="L259" s="14"/>
      <c r="M259" s="14"/>
    </row>
    <row r="260" spans="3:14" ht="12.75">
      <c r="C260" s="1"/>
      <c r="L260" s="14"/>
      <c r="M260" s="14"/>
      <c r="N260" s="22"/>
    </row>
    <row r="261" spans="3:13" ht="12.75">
      <c r="C261" s="1"/>
      <c r="L261" s="14"/>
      <c r="M261" s="14"/>
    </row>
    <row r="262" spans="3:13" ht="12.75">
      <c r="C262" s="1"/>
      <c r="L262" s="14"/>
      <c r="M262" s="14"/>
    </row>
    <row r="263" spans="3:13" ht="12.75">
      <c r="C263" s="1"/>
      <c r="L263" s="14"/>
      <c r="M263" s="14"/>
    </row>
    <row r="264" spans="3:13" ht="12.75">
      <c r="C264" s="1"/>
      <c r="L264" s="14"/>
      <c r="M264" s="14"/>
    </row>
    <row r="265" spans="3:13" ht="12.75">
      <c r="C265" s="1"/>
      <c r="L265" s="14"/>
      <c r="M265" s="14"/>
    </row>
    <row r="266" spans="3:13" ht="12.75">
      <c r="C266" s="1"/>
      <c r="L266" s="14"/>
      <c r="M266" s="14"/>
    </row>
    <row r="267" spans="3:13" ht="12.75">
      <c r="C267" s="1"/>
      <c r="L267" s="14"/>
      <c r="M267" s="14"/>
    </row>
    <row r="268" spans="3:13" ht="12.75">
      <c r="C268" s="1"/>
      <c r="L268" s="14"/>
      <c r="M268" s="14"/>
    </row>
    <row r="269" spans="3:13" ht="12.75">
      <c r="C269" s="1"/>
      <c r="L269" s="14"/>
      <c r="M269" s="14"/>
    </row>
    <row r="270" spans="3:13" ht="12.75">
      <c r="C270" s="1"/>
      <c r="L270" s="14"/>
      <c r="M270" s="14"/>
    </row>
    <row r="271" spans="3:13" ht="12.75">
      <c r="C271" s="1"/>
      <c r="L271" s="14"/>
      <c r="M271" s="14"/>
    </row>
    <row r="272" spans="3:13" ht="12.75">
      <c r="C272" s="1"/>
      <c r="L272" s="14"/>
      <c r="M272" s="14"/>
    </row>
    <row r="273" spans="3:13" ht="12.75">
      <c r="C273" s="1"/>
      <c r="L273" s="14"/>
      <c r="M273" s="14"/>
    </row>
    <row r="274" spans="3:13" ht="12.75">
      <c r="C274" s="1"/>
      <c r="L274" s="14"/>
      <c r="M274" s="14"/>
    </row>
    <row r="275" spans="3:13" ht="12.75">
      <c r="C275" s="1"/>
      <c r="L275" s="14"/>
      <c r="M275" s="14"/>
    </row>
    <row r="276" spans="3:13" ht="12.75">
      <c r="C276" s="1"/>
      <c r="L276" s="14"/>
      <c r="M276" s="14"/>
    </row>
    <row r="277" spans="3:13" ht="12.75">
      <c r="C277" s="1"/>
      <c r="L277" s="14"/>
      <c r="M277" s="14"/>
    </row>
    <row r="278" spans="3:13" ht="12.75">
      <c r="C278" s="1"/>
      <c r="L278" s="14"/>
      <c r="M278" s="14"/>
    </row>
    <row r="279" spans="3:13" ht="12.75">
      <c r="C279" s="1"/>
      <c r="L279" s="14"/>
      <c r="M279" s="14"/>
    </row>
    <row r="280" spans="3:13" ht="12.75">
      <c r="C280" s="1"/>
      <c r="L280" s="14"/>
      <c r="M280" s="14"/>
    </row>
    <row r="281" spans="3:14" ht="12.75">
      <c r="C281" s="1"/>
      <c r="L281" s="14"/>
      <c r="M281" s="14"/>
      <c r="N281" s="17"/>
    </row>
    <row r="282" spans="3:14" ht="12.75">
      <c r="C282" s="1"/>
      <c r="L282" s="14"/>
      <c r="M282" s="14"/>
      <c r="N282" s="22"/>
    </row>
    <row r="283" spans="3:14" ht="12.75">
      <c r="C283" s="1"/>
      <c r="L283" s="14"/>
      <c r="M283" s="14"/>
      <c r="N283" s="17"/>
    </row>
    <row r="284" spans="3:14" ht="12.75">
      <c r="C284" s="1"/>
      <c r="L284" s="14"/>
      <c r="M284" s="14"/>
      <c r="N284" s="17"/>
    </row>
    <row r="285" spans="3:14" ht="12.75">
      <c r="C285" s="1"/>
      <c r="L285" s="14"/>
      <c r="M285" s="14"/>
      <c r="N285" s="17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spans="3:13" ht="12.75">
      <c r="C290" s="1"/>
      <c r="L290" s="14"/>
      <c r="M290" s="14"/>
    </row>
    <row r="291" spans="3:13" ht="12.75">
      <c r="C291" s="1"/>
      <c r="L291" s="14"/>
      <c r="M291" s="14"/>
    </row>
    <row r="292" spans="3:13" ht="12.75">
      <c r="C292" s="1"/>
      <c r="L292" s="14"/>
      <c r="M292" s="14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2" ht="12.75">
      <c r="D302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9" ht="12.75">
      <c r="D409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4" ht="12.75">
      <c r="D494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3" ht="12.75">
      <c r="D543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5" ht="12.75">
      <c r="D555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80" ht="12.75">
      <c r="D580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1" ht="12.75">
      <c r="D591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3" ht="12.75">
      <c r="D643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9" ht="12.75">
      <c r="D749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8" ht="12.75">
      <c r="D758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8" ht="12.75">
      <c r="D768" s="3"/>
    </row>
    <row r="772" ht="12.75">
      <c r="D772" s="3"/>
    </row>
    <row r="774" ht="12.75">
      <c r="D774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8" ht="12.75">
      <c r="D808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6" ht="12.75">
      <c r="D836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1" ht="12.75">
      <c r="D861" s="3"/>
    </row>
    <row r="865" ht="12.75">
      <c r="D865" s="3"/>
    </row>
    <row r="866" ht="12.75">
      <c r="D866" s="3"/>
    </row>
    <row r="868" ht="12.75">
      <c r="D868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1" ht="12.75">
      <c r="D891" s="3"/>
    </row>
    <row r="895" ht="12.75">
      <c r="D895" s="3"/>
    </row>
    <row r="896" ht="12.75">
      <c r="D896" s="3"/>
    </row>
    <row r="897" ht="12.75">
      <c r="D897" s="3"/>
    </row>
    <row r="899" ht="12.75">
      <c r="D899" s="3"/>
    </row>
    <row r="903" ht="12.75">
      <c r="D903" s="3"/>
    </row>
    <row r="905" ht="12.75">
      <c r="D905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7" ht="12.75">
      <c r="D917" s="3"/>
    </row>
    <row r="921" ht="12.75">
      <c r="D921" s="3"/>
    </row>
    <row r="922" ht="12.75">
      <c r="D922" s="3"/>
    </row>
    <row r="924" ht="12.75">
      <c r="D924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5" ht="12.75">
      <c r="D935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50" ht="12.75">
      <c r="D950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5" ht="12.75">
      <c r="D965" s="3"/>
    </row>
    <row r="969" ht="12.75">
      <c r="D969" s="3"/>
    </row>
    <row r="970" ht="12.75">
      <c r="D970" s="3"/>
    </row>
    <row r="971" ht="12.75">
      <c r="D971" s="3"/>
    </row>
    <row r="973" ht="12.75">
      <c r="D973" s="3"/>
    </row>
    <row r="977" ht="12.75">
      <c r="D977" s="3"/>
    </row>
    <row r="978" ht="12.75">
      <c r="D978" s="3"/>
    </row>
    <row r="980" ht="12.75">
      <c r="D980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4" ht="12.75">
      <c r="D1024" s="3"/>
    </row>
    <row r="1028" ht="12.75">
      <c r="D1028" s="3"/>
    </row>
    <row r="1029" ht="12.75">
      <c r="D1029" s="3"/>
    </row>
    <row r="1030" ht="12.75">
      <c r="D1030" s="3"/>
    </row>
    <row r="1032" ht="12.75">
      <c r="D1032" s="3"/>
    </row>
    <row r="1036" ht="12.75">
      <c r="D1036" s="3"/>
    </row>
    <row r="1037" ht="12.75">
      <c r="D1037" s="3"/>
    </row>
    <row r="1038" ht="12.75">
      <c r="D1038" s="3"/>
    </row>
    <row r="1040" ht="12.75">
      <c r="D1040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2" ht="12.75">
      <c r="D1142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1"/>
  <sheetViews>
    <sheetView zoomScale="75" zoomScaleNormal="75" workbookViewId="0" topLeftCell="A1">
      <selection activeCell="C7" sqref="C7"/>
    </sheetView>
  </sheetViews>
  <sheetFormatPr defaultColWidth="9.00390625" defaultRowHeight="12.75"/>
  <cols>
    <col min="1" max="1" width="9.25390625" style="0" bestFit="1" customWidth="1"/>
    <col min="2" max="2" width="12.00390625" style="0" customWidth="1"/>
    <col min="3" max="4" width="10.125" style="0" customWidth="1"/>
    <col min="5" max="5" width="6.625" style="14" customWidth="1"/>
    <col min="6" max="6" width="5.375" style="0" customWidth="1"/>
    <col min="7" max="7" width="6.625" style="0" customWidth="1"/>
    <col min="8" max="8" width="51.00390625" style="0" customWidth="1"/>
  </cols>
  <sheetData>
    <row r="1" spans="1:7" ht="12.75">
      <c r="A1" s="4" t="s">
        <v>30</v>
      </c>
      <c r="B1">
        <v>56.19292</v>
      </c>
      <c r="C1">
        <v>29.67995</v>
      </c>
      <c r="D1" t="s">
        <v>388</v>
      </c>
      <c r="E1" s="14">
        <v>18</v>
      </c>
      <c r="F1" s="14"/>
      <c r="G1" s="14"/>
    </row>
    <row r="2" spans="1:7" ht="12.75">
      <c r="A2" s="4" t="s">
        <v>37</v>
      </c>
      <c r="B2">
        <v>56.19373</v>
      </c>
      <c r="C2">
        <v>29.67281</v>
      </c>
      <c r="D2" t="s">
        <v>388</v>
      </c>
      <c r="E2" s="14">
        <v>116</v>
      </c>
      <c r="F2" s="14"/>
      <c r="G2" s="14"/>
    </row>
    <row r="3" spans="1:7" ht="12.75">
      <c r="A3" s="4" t="s">
        <v>38</v>
      </c>
      <c r="B3">
        <v>56.19462</v>
      </c>
      <c r="C3">
        <v>29.67041</v>
      </c>
      <c r="D3" t="s">
        <v>388</v>
      </c>
      <c r="E3" s="14">
        <v>93</v>
      </c>
      <c r="F3" s="14"/>
      <c r="G3" s="14"/>
    </row>
    <row r="4" spans="1:7" ht="12.75">
      <c r="A4" s="4" t="s">
        <v>39</v>
      </c>
      <c r="B4">
        <v>56.19474</v>
      </c>
      <c r="C4">
        <v>29.66935</v>
      </c>
      <c r="D4" t="s">
        <v>388</v>
      </c>
      <c r="E4" s="14">
        <v>99</v>
      </c>
      <c r="F4" s="14"/>
      <c r="G4" s="14"/>
    </row>
    <row r="5" spans="1:7" ht="12.75">
      <c r="A5" s="4" t="s">
        <v>40</v>
      </c>
      <c r="B5">
        <v>56.19376</v>
      </c>
      <c r="C5">
        <v>29.66742</v>
      </c>
      <c r="D5" t="s">
        <v>388</v>
      </c>
      <c r="E5" s="14">
        <v>166</v>
      </c>
      <c r="F5" s="14"/>
      <c r="G5" s="14"/>
    </row>
    <row r="6" spans="1:7" ht="12.75">
      <c r="A6" s="4" t="s">
        <v>41</v>
      </c>
      <c r="B6">
        <v>56.19359</v>
      </c>
      <c r="C6">
        <v>29.66725</v>
      </c>
      <c r="D6" t="s">
        <v>388</v>
      </c>
      <c r="E6" s="14">
        <v>87</v>
      </c>
      <c r="F6" s="14"/>
      <c r="G6" s="14"/>
    </row>
    <row r="7" spans="1:7" ht="12.75">
      <c r="A7" s="4" t="s">
        <v>42</v>
      </c>
      <c r="B7">
        <v>56.19267</v>
      </c>
      <c r="C7">
        <v>29.66118</v>
      </c>
      <c r="D7" t="s">
        <v>388</v>
      </c>
      <c r="E7" s="14">
        <v>133</v>
      </c>
      <c r="F7" s="14"/>
      <c r="G7" s="14"/>
    </row>
    <row r="8" spans="1:7" ht="12.75">
      <c r="A8" s="4" t="s">
        <v>43</v>
      </c>
      <c r="B8">
        <v>56.19583</v>
      </c>
      <c r="C8">
        <v>29.65567</v>
      </c>
      <c r="D8" t="s">
        <v>388</v>
      </c>
      <c r="E8" s="14">
        <v>14</v>
      </c>
      <c r="F8" s="14"/>
      <c r="G8" s="14"/>
    </row>
    <row r="9" spans="1:7" ht="12.75">
      <c r="A9" s="4" t="s">
        <v>44</v>
      </c>
      <c r="B9">
        <v>56.19786</v>
      </c>
      <c r="C9">
        <v>29.65264</v>
      </c>
      <c r="D9" t="s">
        <v>388</v>
      </c>
      <c r="E9" s="16">
        <v>10</v>
      </c>
      <c r="F9" s="14"/>
      <c r="G9" s="14"/>
    </row>
    <row r="10" spans="1:7" ht="12.75">
      <c r="A10" s="4" t="s">
        <v>45</v>
      </c>
      <c r="B10">
        <v>56.2013</v>
      </c>
      <c r="C10">
        <v>29.64791</v>
      </c>
      <c r="D10" t="s">
        <v>388</v>
      </c>
      <c r="E10" s="16">
        <v>54</v>
      </c>
      <c r="F10" s="14"/>
      <c r="G10" s="14"/>
    </row>
    <row r="11" spans="1:7" ht="12.75">
      <c r="A11" s="4" t="s">
        <v>46</v>
      </c>
      <c r="B11">
        <v>56.20364</v>
      </c>
      <c r="C11">
        <v>29.64452</v>
      </c>
      <c r="D11" t="s">
        <v>388</v>
      </c>
      <c r="E11" s="14">
        <v>50</v>
      </c>
      <c r="F11" s="14"/>
      <c r="G11" s="14"/>
    </row>
    <row r="12" spans="1:7" ht="12.75">
      <c r="A12" s="4" t="s">
        <v>47</v>
      </c>
      <c r="B12">
        <v>56.21075</v>
      </c>
      <c r="C12">
        <v>29.64012</v>
      </c>
      <c r="D12" t="s">
        <v>388</v>
      </c>
      <c r="E12" s="14">
        <v>39</v>
      </c>
      <c r="F12" s="14"/>
      <c r="G12" s="14"/>
    </row>
    <row r="13" spans="1:7" ht="12.75">
      <c r="A13" s="4" t="s">
        <v>48</v>
      </c>
      <c r="B13">
        <v>56.19511</v>
      </c>
      <c r="C13">
        <v>29.67386</v>
      </c>
      <c r="D13" t="s">
        <v>388</v>
      </c>
      <c r="E13" s="14">
        <v>80</v>
      </c>
      <c r="F13" s="14"/>
      <c r="G13" s="14"/>
    </row>
    <row r="14" spans="1:7" ht="12.75">
      <c r="A14" s="4" t="s">
        <v>49</v>
      </c>
      <c r="B14">
        <v>56.19641</v>
      </c>
      <c r="C14">
        <v>29.67349</v>
      </c>
      <c r="D14" t="s">
        <v>388</v>
      </c>
      <c r="E14" s="14">
        <v>100</v>
      </c>
      <c r="F14" s="14"/>
      <c r="G14" s="14"/>
    </row>
    <row r="15" spans="1:7" ht="12.75">
      <c r="A15" s="4" t="s">
        <v>50</v>
      </c>
      <c r="B15">
        <v>56.20113</v>
      </c>
      <c r="C15">
        <v>29.68092</v>
      </c>
      <c r="D15" t="s">
        <v>388</v>
      </c>
      <c r="E15" s="14">
        <v>121</v>
      </c>
      <c r="F15" s="14"/>
      <c r="G15" s="14"/>
    </row>
    <row r="16" spans="1:7" ht="12.75">
      <c r="A16" s="4" t="s">
        <v>51</v>
      </c>
      <c r="B16">
        <v>56.20215</v>
      </c>
      <c r="C16">
        <v>29.68369</v>
      </c>
      <c r="D16" t="s">
        <v>388</v>
      </c>
      <c r="E16" s="14">
        <v>113</v>
      </c>
      <c r="F16" s="14"/>
      <c r="G16" s="14"/>
    </row>
    <row r="17" spans="1:7" ht="12.75">
      <c r="A17" s="4" t="s">
        <v>52</v>
      </c>
      <c r="B17">
        <v>56.20244</v>
      </c>
      <c r="C17">
        <v>29.68463</v>
      </c>
      <c r="D17" t="s">
        <v>388</v>
      </c>
      <c r="E17" s="14">
        <v>503</v>
      </c>
      <c r="F17" s="14"/>
      <c r="G17" s="14"/>
    </row>
    <row r="18" spans="1:7" ht="12.75">
      <c r="A18" s="4" t="s">
        <v>53</v>
      </c>
      <c r="B18">
        <v>56.20229</v>
      </c>
      <c r="C18">
        <v>29.68496</v>
      </c>
      <c r="D18" t="s">
        <v>388</v>
      </c>
      <c r="E18" s="14">
        <v>127</v>
      </c>
      <c r="F18" s="14"/>
      <c r="G18" s="14"/>
    </row>
    <row r="19" spans="1:7" ht="12.75">
      <c r="A19" s="4" t="s">
        <v>54</v>
      </c>
      <c r="B19">
        <v>56.20223</v>
      </c>
      <c r="C19">
        <v>29.68782</v>
      </c>
      <c r="D19" t="s">
        <v>388</v>
      </c>
      <c r="E19" s="14">
        <v>279</v>
      </c>
      <c r="F19" s="14"/>
      <c r="G19" s="14"/>
    </row>
    <row r="20" spans="1:7" ht="12.75">
      <c r="A20" s="4" t="s">
        <v>55</v>
      </c>
      <c r="B20">
        <v>56.20275</v>
      </c>
      <c r="C20">
        <v>29.69086</v>
      </c>
      <c r="D20" t="s">
        <v>388</v>
      </c>
      <c r="E20" s="14">
        <v>111</v>
      </c>
      <c r="F20" s="14"/>
      <c r="G20" s="14"/>
    </row>
    <row r="21" spans="1:7" ht="12.75">
      <c r="A21" s="4" t="s">
        <v>56</v>
      </c>
      <c r="B21">
        <v>56.20346</v>
      </c>
      <c r="C21">
        <v>29.69474</v>
      </c>
      <c r="D21" t="s">
        <v>388</v>
      </c>
      <c r="E21" s="14">
        <v>75</v>
      </c>
      <c r="F21" s="14"/>
      <c r="G21" s="14"/>
    </row>
    <row r="22" spans="1:7" ht="12.75">
      <c r="A22" s="4" t="s">
        <v>57</v>
      </c>
      <c r="B22">
        <v>56.20463</v>
      </c>
      <c r="C22">
        <v>29.6967</v>
      </c>
      <c r="D22" t="s">
        <v>388</v>
      </c>
      <c r="E22" s="14">
        <v>145</v>
      </c>
      <c r="F22" s="14"/>
      <c r="G22" s="14"/>
    </row>
    <row r="23" spans="1:7" ht="12.75">
      <c r="A23" s="4" t="s">
        <v>57</v>
      </c>
      <c r="B23">
        <v>56.20618</v>
      </c>
      <c r="C23">
        <v>29.69847</v>
      </c>
      <c r="D23" t="s">
        <v>388</v>
      </c>
      <c r="E23" s="14">
        <v>275</v>
      </c>
      <c r="F23" s="14"/>
      <c r="G23" s="14"/>
    </row>
    <row r="24" spans="1:7" ht="12.75">
      <c r="A24" s="4" t="s">
        <v>58</v>
      </c>
      <c r="B24">
        <v>56.20675</v>
      </c>
      <c r="C24">
        <v>29.70051</v>
      </c>
      <c r="D24" t="s">
        <v>388</v>
      </c>
      <c r="E24" s="14">
        <v>115</v>
      </c>
      <c r="F24" s="14"/>
      <c r="G24" s="14"/>
    </row>
    <row r="25" spans="1:7" ht="12.75">
      <c r="A25" s="4" t="s">
        <v>59</v>
      </c>
      <c r="B25">
        <v>56.20702</v>
      </c>
      <c r="C25">
        <v>29.70124</v>
      </c>
      <c r="D25" t="s">
        <v>388</v>
      </c>
      <c r="E25" s="14">
        <v>175</v>
      </c>
      <c r="F25" s="14"/>
      <c r="G25" s="14"/>
    </row>
    <row r="26" spans="1:7" ht="12.75">
      <c r="A26" s="4" t="s">
        <v>60</v>
      </c>
      <c r="B26">
        <v>56.20702</v>
      </c>
      <c r="C26">
        <v>29.70166</v>
      </c>
      <c r="D26" t="s">
        <v>388</v>
      </c>
      <c r="E26" s="14">
        <v>108</v>
      </c>
      <c r="F26" s="14"/>
      <c r="G26" s="14"/>
    </row>
    <row r="27" spans="1:7" ht="12.75">
      <c r="A27" s="4" t="s">
        <v>61</v>
      </c>
      <c r="B27">
        <v>56.20703</v>
      </c>
      <c r="C27">
        <v>29.70167</v>
      </c>
      <c r="D27" t="s">
        <v>388</v>
      </c>
      <c r="E27" s="14">
        <v>114</v>
      </c>
      <c r="F27" s="14"/>
      <c r="G27" s="14"/>
    </row>
    <row r="28" spans="1:7" ht="12.75">
      <c r="A28" s="4" t="s">
        <v>62</v>
      </c>
      <c r="B28">
        <v>56.20927</v>
      </c>
      <c r="C28">
        <v>29.70757</v>
      </c>
      <c r="D28" t="s">
        <v>388</v>
      </c>
      <c r="E28" s="14">
        <v>108</v>
      </c>
      <c r="F28" s="14"/>
      <c r="G28" s="14"/>
    </row>
    <row r="29" spans="1:7" ht="12.75">
      <c r="A29" s="4" t="s">
        <v>63</v>
      </c>
      <c r="B29">
        <v>56.20976</v>
      </c>
      <c r="C29">
        <v>29.71174</v>
      </c>
      <c r="D29" t="s">
        <v>388</v>
      </c>
      <c r="E29" s="14">
        <v>238</v>
      </c>
      <c r="F29" s="14"/>
      <c r="G29" s="14"/>
    </row>
    <row r="30" spans="1:7" ht="12.75">
      <c r="A30" s="4" t="s">
        <v>64</v>
      </c>
      <c r="B30">
        <v>56.20995</v>
      </c>
      <c r="C30">
        <v>29.71674</v>
      </c>
      <c r="D30" t="s">
        <v>388</v>
      </c>
      <c r="E30" s="14">
        <v>165</v>
      </c>
      <c r="F30" s="14"/>
      <c r="G30" s="14"/>
    </row>
    <row r="31" spans="1:7" ht="12.75">
      <c r="A31" s="4" t="s">
        <v>65</v>
      </c>
      <c r="B31">
        <v>56.20991</v>
      </c>
      <c r="C31">
        <v>29.7195</v>
      </c>
      <c r="D31" t="s">
        <v>388</v>
      </c>
      <c r="E31" s="14">
        <v>275</v>
      </c>
      <c r="F31" s="14"/>
      <c r="G31" s="14"/>
    </row>
    <row r="32" spans="1:7" ht="12.75">
      <c r="A32" s="4" t="s">
        <v>66</v>
      </c>
      <c r="B32">
        <v>56.20997</v>
      </c>
      <c r="C32">
        <v>29.72048</v>
      </c>
      <c r="D32" t="s">
        <v>388</v>
      </c>
      <c r="E32" s="14">
        <v>184</v>
      </c>
      <c r="F32" s="14"/>
      <c r="G32" s="14"/>
    </row>
    <row r="33" spans="1:7" ht="12.75">
      <c r="A33" s="4" t="s">
        <v>112</v>
      </c>
      <c r="B33">
        <v>56.1673</v>
      </c>
      <c r="C33">
        <v>29.58432</v>
      </c>
      <c r="D33" t="s">
        <v>388</v>
      </c>
      <c r="E33" s="14">
        <v>94</v>
      </c>
      <c r="F33" s="14"/>
      <c r="G33" s="14"/>
    </row>
    <row r="34" spans="1:7" ht="12.75">
      <c r="A34" s="4" t="s">
        <v>113</v>
      </c>
      <c r="B34">
        <v>56.17153</v>
      </c>
      <c r="C34">
        <v>29.57904</v>
      </c>
      <c r="D34" t="s">
        <v>388</v>
      </c>
      <c r="E34" s="14">
        <v>236</v>
      </c>
      <c r="F34" s="14"/>
      <c r="G34" s="14"/>
    </row>
    <row r="35" spans="1:7" ht="12.75">
      <c r="A35" s="4" t="s">
        <v>114</v>
      </c>
      <c r="B35">
        <v>56.17317</v>
      </c>
      <c r="C35">
        <v>29.57858</v>
      </c>
      <c r="D35" t="s">
        <v>388</v>
      </c>
      <c r="E35" s="14">
        <v>253</v>
      </c>
      <c r="F35" s="14"/>
      <c r="G35" s="14"/>
    </row>
    <row r="36" spans="1:7" ht="12.75">
      <c r="A36" s="4" t="s">
        <v>115</v>
      </c>
      <c r="B36">
        <v>56.17361</v>
      </c>
      <c r="C36">
        <v>29.57735</v>
      </c>
      <c r="D36" t="s">
        <v>388</v>
      </c>
      <c r="E36" s="14">
        <v>206</v>
      </c>
      <c r="F36" s="14"/>
      <c r="G36" s="14"/>
    </row>
    <row r="37" spans="1:7" ht="12.75">
      <c r="A37" s="4" t="s">
        <v>116</v>
      </c>
      <c r="B37">
        <v>56.17507</v>
      </c>
      <c r="C37">
        <v>29.57349</v>
      </c>
      <c r="D37" t="s">
        <v>388</v>
      </c>
      <c r="E37" s="14">
        <v>173</v>
      </c>
      <c r="G37" s="14"/>
    </row>
    <row r="38" spans="1:7" ht="12.75">
      <c r="A38" s="4" t="s">
        <v>117</v>
      </c>
      <c r="B38">
        <v>56.17658</v>
      </c>
      <c r="C38">
        <v>29.55552</v>
      </c>
      <c r="D38" t="s">
        <v>388</v>
      </c>
      <c r="E38" s="14">
        <v>1</v>
      </c>
      <c r="F38" s="14"/>
      <c r="G38" s="14"/>
    </row>
    <row r="39" spans="1:7" ht="12.75">
      <c r="A39" s="4" t="s">
        <v>126</v>
      </c>
      <c r="B39">
        <v>56.17206</v>
      </c>
      <c r="C39">
        <v>29.53818</v>
      </c>
      <c r="D39" t="s">
        <v>388</v>
      </c>
      <c r="E39" s="14">
        <v>315</v>
      </c>
      <c r="F39" s="14"/>
      <c r="G39" s="14"/>
    </row>
    <row r="40" spans="1:7" ht="12.75">
      <c r="A40" s="4" t="s">
        <v>118</v>
      </c>
      <c r="B40">
        <v>56.17177</v>
      </c>
      <c r="C40">
        <v>29.53821</v>
      </c>
      <c r="D40" t="s">
        <v>388</v>
      </c>
      <c r="E40" s="14">
        <v>314</v>
      </c>
      <c r="F40" s="14"/>
      <c r="G40" s="14"/>
    </row>
    <row r="41" spans="1:7" ht="12.75">
      <c r="A41" s="4" t="s">
        <v>119</v>
      </c>
      <c r="B41">
        <v>56.16897</v>
      </c>
      <c r="C41">
        <v>29.54208</v>
      </c>
      <c r="D41" t="s">
        <v>388</v>
      </c>
      <c r="E41" s="14">
        <v>186</v>
      </c>
      <c r="F41" s="14"/>
      <c r="G41" s="14"/>
    </row>
    <row r="42" spans="1:7" ht="12.75">
      <c r="A42" s="4" t="s">
        <v>120</v>
      </c>
      <c r="B42">
        <v>56.17052</v>
      </c>
      <c r="C42">
        <v>29.55478</v>
      </c>
      <c r="D42" t="s">
        <v>388</v>
      </c>
      <c r="E42" s="14">
        <v>320</v>
      </c>
      <c r="F42" s="14"/>
      <c r="G42" s="14"/>
    </row>
    <row r="43" spans="1:7" ht="12.75">
      <c r="A43" s="4" t="s">
        <v>121</v>
      </c>
      <c r="B43">
        <v>56.17667</v>
      </c>
      <c r="C43">
        <v>29.57875</v>
      </c>
      <c r="D43" t="s">
        <v>388</v>
      </c>
      <c r="E43" s="14">
        <v>75</v>
      </c>
      <c r="F43" s="14"/>
      <c r="G43" s="14"/>
    </row>
    <row r="44" spans="1:7" ht="12.75">
      <c r="A44" s="4" t="s">
        <v>122</v>
      </c>
      <c r="B44">
        <v>56.17835</v>
      </c>
      <c r="C44">
        <v>29.58686</v>
      </c>
      <c r="D44" t="s">
        <v>388</v>
      </c>
      <c r="E44" s="14">
        <v>259</v>
      </c>
      <c r="F44" s="14"/>
      <c r="G44" s="14"/>
    </row>
    <row r="45" spans="1:7" ht="12.75">
      <c r="A45" s="4" t="s">
        <v>123</v>
      </c>
      <c r="B45">
        <v>56.18069</v>
      </c>
      <c r="C45">
        <v>29.58511</v>
      </c>
      <c r="D45" t="s">
        <v>388</v>
      </c>
      <c r="E45" s="14">
        <v>35</v>
      </c>
      <c r="F45" s="14"/>
      <c r="G45" s="14"/>
    </row>
    <row r="46" spans="1:7" ht="12.75">
      <c r="A46" s="4" t="s">
        <v>124</v>
      </c>
      <c r="B46">
        <v>56.19123</v>
      </c>
      <c r="C46">
        <v>29.59161</v>
      </c>
      <c r="D46" t="s">
        <v>388</v>
      </c>
      <c r="E46" s="14">
        <v>9</v>
      </c>
      <c r="F46" s="9"/>
      <c r="G46" s="14"/>
    </row>
    <row r="47" spans="1:7" ht="12.75">
      <c r="A47" s="4" t="s">
        <v>125</v>
      </c>
      <c r="B47">
        <v>56.20574</v>
      </c>
      <c r="C47">
        <v>29.5901</v>
      </c>
      <c r="D47" t="s">
        <v>388</v>
      </c>
      <c r="E47" s="14">
        <v>177</v>
      </c>
      <c r="F47" s="12"/>
      <c r="G47" s="12"/>
    </row>
    <row r="48" spans="1:7" ht="12.75">
      <c r="A48" s="4" t="s">
        <v>135</v>
      </c>
      <c r="B48">
        <v>56.21711</v>
      </c>
      <c r="C48">
        <v>29.63138</v>
      </c>
      <c r="D48" t="s">
        <v>388</v>
      </c>
      <c r="E48" s="14">
        <v>169</v>
      </c>
      <c r="F48" s="12"/>
      <c r="G48" s="12"/>
    </row>
    <row r="49" spans="1:7" ht="12.75">
      <c r="A49" s="4" t="s">
        <v>136</v>
      </c>
      <c r="B49">
        <v>56.21875</v>
      </c>
      <c r="C49">
        <v>29.63483</v>
      </c>
      <c r="D49" t="s">
        <v>388</v>
      </c>
      <c r="E49" s="14">
        <v>263</v>
      </c>
      <c r="F49" s="12"/>
      <c r="G49" s="12"/>
    </row>
    <row r="50" spans="1:7" ht="12.75">
      <c r="A50" s="4" t="s">
        <v>137</v>
      </c>
      <c r="B50">
        <v>56.21902</v>
      </c>
      <c r="C50">
        <v>29.63667</v>
      </c>
      <c r="D50" t="s">
        <v>388</v>
      </c>
      <c r="E50" s="14">
        <v>271</v>
      </c>
      <c r="F50" s="12"/>
      <c r="G50" s="12"/>
    </row>
    <row r="51" spans="1:7" ht="12.75">
      <c r="A51" s="4" t="s">
        <v>138</v>
      </c>
      <c r="B51">
        <v>56.21942</v>
      </c>
      <c r="C51">
        <v>29.6398</v>
      </c>
      <c r="D51" t="s">
        <v>388</v>
      </c>
      <c r="E51" s="14">
        <v>153</v>
      </c>
      <c r="F51" s="12"/>
      <c r="G51" s="12"/>
    </row>
    <row r="52" spans="1:7" ht="12.75">
      <c r="A52" s="4" t="s">
        <v>139</v>
      </c>
      <c r="B52">
        <v>56.21924</v>
      </c>
      <c r="C52">
        <v>29.64149</v>
      </c>
      <c r="D52" t="s">
        <v>388</v>
      </c>
      <c r="E52" s="14">
        <v>310</v>
      </c>
      <c r="F52" s="12"/>
      <c r="G52" s="12"/>
    </row>
    <row r="53" spans="1:7" ht="12.75">
      <c r="A53" s="4" t="s">
        <v>140</v>
      </c>
      <c r="B53">
        <v>56.21914</v>
      </c>
      <c r="C53">
        <v>29.64119</v>
      </c>
      <c r="D53" t="s">
        <v>388</v>
      </c>
      <c r="E53" s="14">
        <v>258</v>
      </c>
      <c r="F53" s="12"/>
      <c r="G53" s="12"/>
    </row>
    <row r="54" spans="1:7" ht="12.75">
      <c r="A54" s="4" t="s">
        <v>141</v>
      </c>
      <c r="B54">
        <v>56.21893</v>
      </c>
      <c r="C54">
        <v>29.64409</v>
      </c>
      <c r="D54" t="s">
        <v>388</v>
      </c>
      <c r="E54" s="14">
        <v>295</v>
      </c>
      <c r="F54" s="12"/>
      <c r="G54" s="12"/>
    </row>
    <row r="55" spans="1:7" ht="12.75">
      <c r="A55" s="4" t="s">
        <v>142</v>
      </c>
      <c r="B55">
        <v>56.21872</v>
      </c>
      <c r="C55">
        <v>29.64754</v>
      </c>
      <c r="D55" t="s">
        <v>388</v>
      </c>
      <c r="E55" s="14">
        <v>305</v>
      </c>
      <c r="F55" s="12"/>
      <c r="G55" s="12"/>
    </row>
    <row r="56" spans="1:7" ht="12.75">
      <c r="A56" s="4" t="s">
        <v>143</v>
      </c>
      <c r="B56">
        <v>56.21865</v>
      </c>
      <c r="C56">
        <v>29.65453</v>
      </c>
      <c r="D56" t="s">
        <v>388</v>
      </c>
      <c r="E56" s="14">
        <v>204</v>
      </c>
      <c r="F56" s="12"/>
      <c r="G56" s="12"/>
    </row>
    <row r="57" spans="1:7" ht="12.75">
      <c r="A57" s="4" t="s">
        <v>144</v>
      </c>
      <c r="B57">
        <v>56.21875</v>
      </c>
      <c r="C57">
        <v>29.65518</v>
      </c>
      <c r="D57" t="s">
        <v>388</v>
      </c>
      <c r="E57" s="14">
        <v>191</v>
      </c>
      <c r="F57" s="12"/>
      <c r="G57" s="12"/>
    </row>
    <row r="58" spans="1:7" ht="12.75">
      <c r="A58" s="4" t="s">
        <v>145</v>
      </c>
      <c r="B58">
        <v>56.21855</v>
      </c>
      <c r="C58">
        <v>29.65547</v>
      </c>
      <c r="D58" t="s">
        <v>388</v>
      </c>
      <c r="E58" s="14">
        <v>120</v>
      </c>
      <c r="F58" s="12"/>
      <c r="G58" s="12"/>
    </row>
    <row r="59" spans="1:7" ht="12.75">
      <c r="A59" s="4" t="s">
        <v>146</v>
      </c>
      <c r="B59">
        <v>56.2174</v>
      </c>
      <c r="C59">
        <v>29.65748</v>
      </c>
      <c r="D59" t="s">
        <v>388</v>
      </c>
      <c r="E59" s="14">
        <v>175</v>
      </c>
      <c r="F59" s="12"/>
      <c r="G59" s="12"/>
    </row>
    <row r="60" spans="1:7" ht="12.75">
      <c r="A60" s="4" t="s">
        <v>147</v>
      </c>
      <c r="B60">
        <v>56.21591</v>
      </c>
      <c r="C60">
        <v>29.65947</v>
      </c>
      <c r="D60" t="s">
        <v>388</v>
      </c>
      <c r="E60" s="14">
        <v>354</v>
      </c>
      <c r="F60" s="12"/>
      <c r="G60" s="12"/>
    </row>
    <row r="61" spans="1:7" ht="12.75">
      <c r="A61" s="4" t="s">
        <v>148</v>
      </c>
      <c r="B61">
        <v>56.21608</v>
      </c>
      <c r="C61">
        <v>29.65998</v>
      </c>
      <c r="D61" t="s">
        <v>388</v>
      </c>
      <c r="E61" s="14">
        <v>151</v>
      </c>
      <c r="F61" s="12"/>
      <c r="G61" s="12"/>
    </row>
    <row r="62" spans="1:7" ht="12.75">
      <c r="A62" s="4" t="s">
        <v>149</v>
      </c>
      <c r="B62">
        <v>56.21555</v>
      </c>
      <c r="C62">
        <v>29.66503</v>
      </c>
      <c r="D62" t="s">
        <v>388</v>
      </c>
      <c r="E62" s="14">
        <v>225</v>
      </c>
      <c r="F62" s="12"/>
      <c r="G62" s="12"/>
    </row>
    <row r="63" spans="1:7" ht="12.75">
      <c r="A63" s="4" t="s">
        <v>150</v>
      </c>
      <c r="B63">
        <v>56.21398</v>
      </c>
      <c r="C63">
        <v>29.66725</v>
      </c>
      <c r="D63" t="s">
        <v>388</v>
      </c>
      <c r="E63" s="14">
        <v>37</v>
      </c>
      <c r="F63" s="12"/>
      <c r="G63" s="12"/>
    </row>
    <row r="64" spans="1:7" ht="12.75">
      <c r="A64" s="4" t="s">
        <v>151</v>
      </c>
      <c r="B64">
        <v>56.21384</v>
      </c>
      <c r="C64">
        <v>29.6668</v>
      </c>
      <c r="D64" t="s">
        <v>388</v>
      </c>
      <c r="E64" s="14">
        <v>390</v>
      </c>
      <c r="F64" s="12"/>
      <c r="G64" s="12"/>
    </row>
    <row r="65" spans="1:7" ht="12.75">
      <c r="A65" s="4" t="s">
        <v>152</v>
      </c>
      <c r="B65">
        <v>56.2137</v>
      </c>
      <c r="C65">
        <v>29.66704</v>
      </c>
      <c r="D65" t="s">
        <v>388</v>
      </c>
      <c r="E65" s="14">
        <v>40</v>
      </c>
      <c r="F65" s="12"/>
      <c r="G65" s="12"/>
    </row>
    <row r="66" spans="1:7" ht="12.75">
      <c r="A66" s="4" t="s">
        <v>153</v>
      </c>
      <c r="B66">
        <v>56.20996</v>
      </c>
      <c r="C66">
        <v>29.66637</v>
      </c>
      <c r="D66" t="s">
        <v>388</v>
      </c>
      <c r="E66" s="14">
        <v>61</v>
      </c>
      <c r="F66" s="12"/>
      <c r="G66" s="12"/>
    </row>
    <row r="67" spans="1:7" ht="12.75">
      <c r="A67" s="4" t="s">
        <v>154</v>
      </c>
      <c r="B67">
        <v>56.20901</v>
      </c>
      <c r="C67">
        <v>29.66655</v>
      </c>
      <c r="D67" t="s">
        <v>388</v>
      </c>
      <c r="E67" s="14">
        <v>133</v>
      </c>
      <c r="F67" s="12"/>
      <c r="G67" s="12"/>
    </row>
    <row r="68" spans="1:7" ht="12.75">
      <c r="A68" s="4" t="s">
        <v>155</v>
      </c>
      <c r="B68">
        <v>56.20499</v>
      </c>
      <c r="C68">
        <v>29.66767</v>
      </c>
      <c r="D68" t="s">
        <v>388</v>
      </c>
      <c r="E68" s="14">
        <v>35</v>
      </c>
      <c r="F68" s="12"/>
      <c r="G68" s="12"/>
    </row>
    <row r="69" spans="1:7" ht="12.75">
      <c r="A69" s="4" t="s">
        <v>156</v>
      </c>
      <c r="B69">
        <v>56.20467</v>
      </c>
      <c r="C69">
        <v>29.6675</v>
      </c>
      <c r="D69" t="s">
        <v>388</v>
      </c>
      <c r="E69" s="14">
        <v>58</v>
      </c>
      <c r="F69" s="12"/>
      <c r="G69" s="12"/>
    </row>
    <row r="70" spans="1:7" ht="12.75">
      <c r="A70" s="4" t="s">
        <v>157</v>
      </c>
      <c r="B70">
        <v>56.20284</v>
      </c>
      <c r="C70">
        <v>29.66781</v>
      </c>
      <c r="D70" t="s">
        <v>388</v>
      </c>
      <c r="E70" s="14">
        <v>79</v>
      </c>
      <c r="F70" s="12"/>
      <c r="G70" s="12"/>
    </row>
    <row r="71" spans="1:7" ht="12.75">
      <c r="A71" s="4" t="s">
        <v>158</v>
      </c>
      <c r="B71">
        <v>56.2019</v>
      </c>
      <c r="C71">
        <v>29.66825</v>
      </c>
      <c r="D71" t="s">
        <v>388</v>
      </c>
      <c r="E71" s="14">
        <v>144</v>
      </c>
      <c r="F71" s="12"/>
      <c r="G71" s="12"/>
    </row>
    <row r="72" spans="1:7" ht="12.75">
      <c r="A72" s="4" t="s">
        <v>159</v>
      </c>
      <c r="B72">
        <v>56.20122</v>
      </c>
      <c r="C72">
        <v>29.66862</v>
      </c>
      <c r="D72" t="s">
        <v>388</v>
      </c>
      <c r="E72" s="14">
        <v>163</v>
      </c>
      <c r="F72" s="12"/>
      <c r="G72" s="12"/>
    </row>
    <row r="73" spans="1:7" ht="12.75">
      <c r="A73" s="4" t="s">
        <v>160</v>
      </c>
      <c r="B73">
        <v>56.20025</v>
      </c>
      <c r="C73">
        <v>29.66963</v>
      </c>
      <c r="D73" t="s">
        <v>388</v>
      </c>
      <c r="E73" s="14">
        <v>160</v>
      </c>
      <c r="F73" s="12"/>
      <c r="G73" s="12"/>
    </row>
    <row r="74" spans="1:7" ht="12.75">
      <c r="A74" s="4" t="s">
        <v>161</v>
      </c>
      <c r="B74">
        <v>56.19865</v>
      </c>
      <c r="C74">
        <v>29.67191</v>
      </c>
      <c r="D74" t="s">
        <v>388</v>
      </c>
      <c r="E74" s="14">
        <v>242</v>
      </c>
      <c r="F74" s="12"/>
      <c r="G74" s="12"/>
    </row>
    <row r="75" spans="1:7" ht="12.75">
      <c r="A75" s="4" t="s">
        <v>162</v>
      </c>
      <c r="B75">
        <v>56.19846</v>
      </c>
      <c r="C75">
        <v>29.67233</v>
      </c>
      <c r="D75" t="s">
        <v>388</v>
      </c>
      <c r="E75" s="14">
        <v>166</v>
      </c>
      <c r="F75" s="12"/>
      <c r="G75" s="12"/>
    </row>
    <row r="76" spans="1:6" ht="12.75">
      <c r="A76" s="4" t="s">
        <v>186</v>
      </c>
      <c r="B76">
        <v>56.19316</v>
      </c>
      <c r="C76">
        <v>29.6765</v>
      </c>
      <c r="D76" t="s">
        <v>388</v>
      </c>
      <c r="E76" s="14">
        <v>32</v>
      </c>
      <c r="F76" s="12"/>
    </row>
    <row r="77" spans="1:6" ht="12.75">
      <c r="A77" s="4" t="s">
        <v>187</v>
      </c>
      <c r="B77">
        <v>56.19132</v>
      </c>
      <c r="C77">
        <v>29.67454</v>
      </c>
      <c r="D77" t="s">
        <v>388</v>
      </c>
      <c r="E77" s="14">
        <v>190</v>
      </c>
      <c r="F77" s="12"/>
    </row>
    <row r="78" spans="1:7" ht="12.75">
      <c r="A78" s="4" t="s">
        <v>188</v>
      </c>
      <c r="B78">
        <v>56.19092</v>
      </c>
      <c r="C78">
        <v>29.67455</v>
      </c>
      <c r="D78" t="s">
        <v>388</v>
      </c>
      <c r="E78" s="14">
        <v>193</v>
      </c>
      <c r="F78" s="12"/>
      <c r="G78" s="14"/>
    </row>
    <row r="79" spans="1:6" ht="12.75">
      <c r="A79" s="4" t="s">
        <v>189</v>
      </c>
      <c r="B79">
        <v>56.1876</v>
      </c>
      <c r="C79">
        <v>29.67672</v>
      </c>
      <c r="D79" t="s">
        <v>388</v>
      </c>
      <c r="E79" s="14">
        <v>218</v>
      </c>
      <c r="F79" s="12"/>
    </row>
    <row r="80" spans="1:7" ht="12.75">
      <c r="A80" s="4" t="s">
        <v>190</v>
      </c>
      <c r="B80">
        <v>56.18734</v>
      </c>
      <c r="C80">
        <v>29.68008</v>
      </c>
      <c r="D80" t="s">
        <v>388</v>
      </c>
      <c r="E80" s="14">
        <v>151</v>
      </c>
      <c r="F80" s="12"/>
      <c r="G80" s="14"/>
    </row>
    <row r="81" spans="1:7" ht="12.75">
      <c r="A81" s="4" t="s">
        <v>191</v>
      </c>
      <c r="B81">
        <v>56.18203</v>
      </c>
      <c r="C81">
        <v>29.6927</v>
      </c>
      <c r="D81" t="s">
        <v>388</v>
      </c>
      <c r="E81" s="14">
        <v>212</v>
      </c>
      <c r="F81" s="12"/>
      <c r="G81" s="12"/>
    </row>
    <row r="82" spans="1:7" ht="12.75">
      <c r="A82" s="4" t="s">
        <v>192</v>
      </c>
      <c r="B82">
        <v>56.18196</v>
      </c>
      <c r="C82">
        <v>29.69281</v>
      </c>
      <c r="D82" t="s">
        <v>388</v>
      </c>
      <c r="E82" s="14">
        <v>230</v>
      </c>
      <c r="F82" s="12"/>
      <c r="G82" s="12"/>
    </row>
    <row r="83" spans="1:7" ht="12.75">
      <c r="A83" s="4" t="s">
        <v>193</v>
      </c>
      <c r="B83">
        <v>56.18184</v>
      </c>
      <c r="C83">
        <v>29.69286</v>
      </c>
      <c r="D83" t="s">
        <v>388</v>
      </c>
      <c r="E83" s="14">
        <v>220</v>
      </c>
      <c r="F83" s="12"/>
      <c r="G83" s="12"/>
    </row>
    <row r="84" spans="1:7" ht="12.75">
      <c r="A84" s="4" t="s">
        <v>194</v>
      </c>
      <c r="B84">
        <v>56.18117</v>
      </c>
      <c r="C84">
        <v>29.69334</v>
      </c>
      <c r="D84" t="s">
        <v>388</v>
      </c>
      <c r="E84" s="14">
        <v>217</v>
      </c>
      <c r="F84" s="12"/>
      <c r="G84" s="12"/>
    </row>
    <row r="85" spans="1:7" ht="12.75">
      <c r="A85" s="4" t="s">
        <v>195</v>
      </c>
      <c r="B85">
        <v>56.18123</v>
      </c>
      <c r="C85">
        <v>29.6935</v>
      </c>
      <c r="D85" t="s">
        <v>388</v>
      </c>
      <c r="E85" s="14">
        <v>257</v>
      </c>
      <c r="F85" s="12"/>
      <c r="G85" s="12"/>
    </row>
    <row r="86" spans="1:7" ht="12.75">
      <c r="A86" s="4" t="s">
        <v>196</v>
      </c>
      <c r="B86">
        <v>56.18081</v>
      </c>
      <c r="C86">
        <v>29.69429</v>
      </c>
      <c r="D86" t="s">
        <v>388</v>
      </c>
      <c r="E86" s="14">
        <v>122</v>
      </c>
      <c r="F86" s="12"/>
      <c r="G86" s="12"/>
    </row>
    <row r="87" spans="1:7" ht="12.75">
      <c r="A87" s="4" t="s">
        <v>197</v>
      </c>
      <c r="B87">
        <v>56.18074</v>
      </c>
      <c r="C87">
        <v>29.69446</v>
      </c>
      <c r="D87" t="s">
        <v>388</v>
      </c>
      <c r="E87" s="14">
        <v>191</v>
      </c>
      <c r="F87" s="12"/>
      <c r="G87" s="12"/>
    </row>
    <row r="88" spans="1:7" ht="12.75">
      <c r="A88" s="4" t="s">
        <v>198</v>
      </c>
      <c r="B88">
        <v>56.18003</v>
      </c>
      <c r="C88">
        <v>29.69506</v>
      </c>
      <c r="D88" t="s">
        <v>388</v>
      </c>
      <c r="E88" s="14">
        <v>181</v>
      </c>
      <c r="F88" s="12"/>
      <c r="G88" s="12"/>
    </row>
    <row r="89" spans="1:7" ht="12.75">
      <c r="A89" s="4" t="s">
        <v>199</v>
      </c>
      <c r="B89">
        <v>56.17897</v>
      </c>
      <c r="C89">
        <v>29.69462</v>
      </c>
      <c r="D89" t="s">
        <v>388</v>
      </c>
      <c r="E89" s="14">
        <v>98</v>
      </c>
      <c r="F89" s="12"/>
      <c r="G89" s="12"/>
    </row>
    <row r="90" spans="1:7" ht="12.75">
      <c r="A90" s="4" t="s">
        <v>200</v>
      </c>
      <c r="B90">
        <v>56.17897</v>
      </c>
      <c r="C90">
        <v>29.69457</v>
      </c>
      <c r="D90" t="s">
        <v>388</v>
      </c>
      <c r="E90" s="14">
        <v>222</v>
      </c>
      <c r="F90" s="12"/>
      <c r="G90" s="12"/>
    </row>
    <row r="91" spans="1:7" ht="12.75">
      <c r="A91" s="4" t="s">
        <v>201</v>
      </c>
      <c r="B91">
        <v>56.17876</v>
      </c>
      <c r="C91">
        <v>29.69456</v>
      </c>
      <c r="D91" t="s">
        <v>388</v>
      </c>
      <c r="E91" s="14">
        <v>171</v>
      </c>
      <c r="F91" s="12"/>
      <c r="G91" s="12"/>
    </row>
    <row r="92" spans="1:7" ht="12.75">
      <c r="A92" s="4" t="s">
        <v>202</v>
      </c>
      <c r="B92">
        <v>56.17874</v>
      </c>
      <c r="C92">
        <v>29.69454</v>
      </c>
      <c r="D92" t="s">
        <v>388</v>
      </c>
      <c r="E92" s="14">
        <v>905</v>
      </c>
      <c r="F92" s="12"/>
      <c r="G92" s="12"/>
    </row>
    <row r="93" spans="1:7" ht="12.75">
      <c r="A93" s="4" t="s">
        <v>203</v>
      </c>
      <c r="B93">
        <v>56.17814</v>
      </c>
      <c r="C93">
        <v>29.69551</v>
      </c>
      <c r="D93" t="s">
        <v>388</v>
      </c>
      <c r="E93" s="14">
        <v>295</v>
      </c>
      <c r="F93" s="12"/>
      <c r="G93" s="12"/>
    </row>
    <row r="94" spans="1:7" ht="12.75">
      <c r="A94" s="4" t="s">
        <v>204</v>
      </c>
      <c r="B94">
        <v>56.17792</v>
      </c>
      <c r="C94">
        <v>29.69591</v>
      </c>
      <c r="D94" t="s">
        <v>388</v>
      </c>
      <c r="E94" s="14">
        <v>297</v>
      </c>
      <c r="F94" s="12"/>
      <c r="G94" s="12"/>
    </row>
    <row r="95" spans="1:7" ht="12.75">
      <c r="A95" s="4" t="s">
        <v>205</v>
      </c>
      <c r="B95">
        <v>56.17779</v>
      </c>
      <c r="C95">
        <v>29.69601</v>
      </c>
      <c r="D95" t="s">
        <v>388</v>
      </c>
      <c r="E95" s="14">
        <v>199</v>
      </c>
      <c r="F95" s="12"/>
      <c r="G95" s="12"/>
    </row>
    <row r="96" spans="1:7" ht="12.75">
      <c r="A96" s="4" t="s">
        <v>206</v>
      </c>
      <c r="B96">
        <v>56.17747</v>
      </c>
      <c r="C96">
        <v>29.69584</v>
      </c>
      <c r="D96" t="s">
        <v>388</v>
      </c>
      <c r="E96" s="14">
        <v>314</v>
      </c>
      <c r="F96" s="12"/>
      <c r="G96" s="12"/>
    </row>
    <row r="97" spans="1:7" ht="12.75">
      <c r="A97" s="4" t="s">
        <v>207</v>
      </c>
      <c r="B97">
        <v>56.17654</v>
      </c>
      <c r="C97">
        <v>29.69501</v>
      </c>
      <c r="D97" t="s">
        <v>388</v>
      </c>
      <c r="E97" s="14">
        <v>267</v>
      </c>
      <c r="F97" s="12"/>
      <c r="G97" s="12"/>
    </row>
    <row r="98" spans="1:7" ht="12.75">
      <c r="A98" s="4" t="s">
        <v>208</v>
      </c>
      <c r="B98">
        <v>56.17623</v>
      </c>
      <c r="C98">
        <v>29.69446</v>
      </c>
      <c r="D98" t="s">
        <v>388</v>
      </c>
      <c r="E98" s="14">
        <v>642</v>
      </c>
      <c r="F98" s="12"/>
      <c r="G98" s="12"/>
    </row>
    <row r="99" spans="1:7" ht="12.75">
      <c r="A99" s="4" t="s">
        <v>209</v>
      </c>
      <c r="B99">
        <v>56.17551</v>
      </c>
      <c r="C99">
        <v>29.69377</v>
      </c>
      <c r="D99" t="s">
        <v>388</v>
      </c>
      <c r="E99" s="14">
        <v>181</v>
      </c>
      <c r="F99" s="12"/>
      <c r="G99" s="12"/>
    </row>
    <row r="100" spans="1:7" ht="12.75">
      <c r="A100" s="4" t="s">
        <v>210</v>
      </c>
      <c r="B100">
        <v>56.17545</v>
      </c>
      <c r="C100">
        <v>29.69385</v>
      </c>
      <c r="D100" t="s">
        <v>388</v>
      </c>
      <c r="E100" s="14">
        <v>263</v>
      </c>
      <c r="F100" s="12"/>
      <c r="G100" s="12"/>
    </row>
    <row r="101" spans="1:7" ht="12.75">
      <c r="A101" s="4" t="s">
        <v>211</v>
      </c>
      <c r="B101">
        <v>56.17057</v>
      </c>
      <c r="C101">
        <v>29.69405</v>
      </c>
      <c r="D101" t="s">
        <v>388</v>
      </c>
      <c r="E101" s="14">
        <v>96</v>
      </c>
      <c r="F101" s="12"/>
      <c r="G101" s="12"/>
    </row>
    <row r="102" spans="1:7" ht="12.75">
      <c r="A102" s="4" t="s">
        <v>212</v>
      </c>
      <c r="B102">
        <v>56.17093</v>
      </c>
      <c r="C102">
        <v>29.69258</v>
      </c>
      <c r="D102" t="s">
        <v>388</v>
      </c>
      <c r="E102" s="14">
        <v>162</v>
      </c>
      <c r="F102" s="12"/>
      <c r="G102" s="12"/>
    </row>
    <row r="103" spans="1:7" ht="12.75">
      <c r="A103" s="4" t="s">
        <v>213</v>
      </c>
      <c r="B103">
        <v>56.1709</v>
      </c>
      <c r="C103">
        <v>29.69235</v>
      </c>
      <c r="D103" t="s">
        <v>388</v>
      </c>
      <c r="E103" s="14">
        <v>338</v>
      </c>
      <c r="F103" s="12"/>
      <c r="G103" s="12"/>
    </row>
    <row r="104" spans="1:7" ht="12.75">
      <c r="A104" s="4" t="s">
        <v>214</v>
      </c>
      <c r="B104">
        <v>56.16992</v>
      </c>
      <c r="C104">
        <v>29.68948</v>
      </c>
      <c r="D104" t="s">
        <v>388</v>
      </c>
      <c r="E104" s="14">
        <v>86</v>
      </c>
      <c r="F104" s="12"/>
      <c r="G104" s="12"/>
    </row>
    <row r="105" spans="1:7" ht="12.75">
      <c r="A105" s="4" t="s">
        <v>215</v>
      </c>
      <c r="B105">
        <v>56.17055</v>
      </c>
      <c r="C105">
        <v>29.68561</v>
      </c>
      <c r="D105" t="s">
        <v>388</v>
      </c>
      <c r="E105" s="14">
        <v>265</v>
      </c>
      <c r="F105" s="12"/>
      <c r="G105" s="12"/>
    </row>
    <row r="106" spans="1:7" ht="12.75">
      <c r="A106" s="4" t="s">
        <v>216</v>
      </c>
      <c r="B106">
        <v>56.17326</v>
      </c>
      <c r="C106">
        <v>29.68251</v>
      </c>
      <c r="D106" t="s">
        <v>388</v>
      </c>
      <c r="E106" s="14">
        <v>245</v>
      </c>
      <c r="F106" s="12"/>
      <c r="G106" s="12"/>
    </row>
    <row r="107" spans="1:7" ht="12.75">
      <c r="A107" s="4" t="s">
        <v>217</v>
      </c>
      <c r="B107">
        <v>56.17355</v>
      </c>
      <c r="C107">
        <v>29.68226</v>
      </c>
      <c r="D107" t="s">
        <v>388</v>
      </c>
      <c r="E107" s="14">
        <v>302</v>
      </c>
      <c r="F107" s="12"/>
      <c r="G107" s="12"/>
    </row>
    <row r="108" spans="1:7" ht="12.75">
      <c r="A108" s="4" t="s">
        <v>218</v>
      </c>
      <c r="B108">
        <v>56.17377</v>
      </c>
      <c r="C108">
        <v>29.68235</v>
      </c>
      <c r="D108" t="s">
        <v>388</v>
      </c>
      <c r="E108" s="14">
        <v>120</v>
      </c>
      <c r="F108" s="12"/>
      <c r="G108" s="12"/>
    </row>
    <row r="109" spans="1:7" ht="12.75">
      <c r="A109" s="4" t="s">
        <v>219</v>
      </c>
      <c r="B109">
        <v>56.17437</v>
      </c>
      <c r="C109">
        <v>29.68032</v>
      </c>
      <c r="D109" t="s">
        <v>388</v>
      </c>
      <c r="E109" s="14">
        <v>133</v>
      </c>
      <c r="F109" s="12"/>
      <c r="G109" s="12"/>
    </row>
    <row r="110" spans="1:7" ht="12.75">
      <c r="A110" s="4" t="s">
        <v>220</v>
      </c>
      <c r="B110">
        <v>56.17435</v>
      </c>
      <c r="C110">
        <v>29.67965</v>
      </c>
      <c r="D110" t="s">
        <v>388</v>
      </c>
      <c r="E110" s="14">
        <v>183</v>
      </c>
      <c r="F110" s="12"/>
      <c r="G110" s="12"/>
    </row>
    <row r="111" spans="1:7" ht="12.75">
      <c r="A111" s="4" t="s">
        <v>221</v>
      </c>
      <c r="B111">
        <v>56.17338</v>
      </c>
      <c r="C111">
        <v>29.67558</v>
      </c>
      <c r="D111" t="s">
        <v>388</v>
      </c>
      <c r="E111" s="14">
        <v>130</v>
      </c>
      <c r="F111" s="12"/>
      <c r="G111" s="12"/>
    </row>
    <row r="112" spans="1:7" ht="12.75">
      <c r="A112" s="4" t="s">
        <v>222</v>
      </c>
      <c r="B112">
        <v>56.17485</v>
      </c>
      <c r="C112">
        <v>29.67382</v>
      </c>
      <c r="D112" t="s">
        <v>388</v>
      </c>
      <c r="E112" s="14">
        <v>205</v>
      </c>
      <c r="F112" s="12"/>
      <c r="G112" s="12"/>
    </row>
    <row r="113" spans="1:7" ht="12.75">
      <c r="A113" s="4" t="s">
        <v>223</v>
      </c>
      <c r="B113">
        <v>56.17914</v>
      </c>
      <c r="C113">
        <v>29.67245</v>
      </c>
      <c r="D113" t="s">
        <v>388</v>
      </c>
      <c r="E113" s="14">
        <v>108</v>
      </c>
      <c r="F113" s="12"/>
      <c r="G113" s="12"/>
    </row>
    <row r="114" spans="1:7" ht="12.75">
      <c r="A114" s="4" t="s">
        <v>224</v>
      </c>
      <c r="B114">
        <v>56.18111</v>
      </c>
      <c r="C114">
        <v>29.67113</v>
      </c>
      <c r="D114" t="s">
        <v>388</v>
      </c>
      <c r="E114" s="14">
        <v>40</v>
      </c>
      <c r="F114" s="12"/>
      <c r="G114" s="12"/>
    </row>
    <row r="115" spans="1:7" ht="12.75">
      <c r="A115" s="4" t="s">
        <v>225</v>
      </c>
      <c r="B115">
        <v>56.18327</v>
      </c>
      <c r="C115">
        <v>29.67002</v>
      </c>
      <c r="D115" t="s">
        <v>388</v>
      </c>
      <c r="E115" s="14">
        <v>39</v>
      </c>
      <c r="F115" s="12"/>
      <c r="G115" s="12"/>
    </row>
    <row r="116" spans="1:7" ht="12.75">
      <c r="A116" s="4" t="s">
        <v>226</v>
      </c>
      <c r="B116">
        <v>56.1881</v>
      </c>
      <c r="C116">
        <v>29.67415</v>
      </c>
      <c r="D116" t="s">
        <v>388</v>
      </c>
      <c r="E116" s="14">
        <v>228</v>
      </c>
      <c r="F116" s="12"/>
      <c r="G116" s="12"/>
    </row>
    <row r="117" spans="1:7" ht="12.75">
      <c r="A117" s="4" t="s">
        <v>283</v>
      </c>
      <c r="B117">
        <v>56.19473</v>
      </c>
      <c r="C117">
        <v>29.66936</v>
      </c>
      <c r="D117" t="s">
        <v>388</v>
      </c>
      <c r="E117" s="14">
        <v>277</v>
      </c>
      <c r="F117" s="12"/>
      <c r="G117" s="12"/>
    </row>
    <row r="118" spans="1:7" ht="12.75">
      <c r="A118" s="4" t="s">
        <v>284</v>
      </c>
      <c r="B118">
        <v>56.19383</v>
      </c>
      <c r="C118">
        <v>29.66761</v>
      </c>
      <c r="D118" t="s">
        <v>388</v>
      </c>
      <c r="E118" s="14">
        <v>162</v>
      </c>
      <c r="F118" s="12"/>
      <c r="G118" s="12"/>
    </row>
    <row r="119" spans="1:7" ht="12.75">
      <c r="A119" s="4" t="s">
        <v>285</v>
      </c>
      <c r="B119">
        <v>56.19265</v>
      </c>
      <c r="C119">
        <v>29.66124</v>
      </c>
      <c r="D119" t="s">
        <v>388</v>
      </c>
      <c r="E119" s="14">
        <v>127</v>
      </c>
      <c r="F119" s="12"/>
      <c r="G119" s="12"/>
    </row>
    <row r="120" spans="1:7" ht="12.75">
      <c r="A120" s="4" t="s">
        <v>286</v>
      </c>
      <c r="B120">
        <v>56.19258</v>
      </c>
      <c r="C120">
        <v>29.66102</v>
      </c>
      <c r="D120" t="s">
        <v>388</v>
      </c>
      <c r="E120" s="14">
        <v>153</v>
      </c>
      <c r="F120" s="12"/>
      <c r="G120" s="12"/>
    </row>
    <row r="121" spans="1:7" ht="12.75">
      <c r="A121" s="4" t="s">
        <v>287</v>
      </c>
      <c r="B121">
        <v>56.18771</v>
      </c>
      <c r="C121">
        <v>29.6616</v>
      </c>
      <c r="D121" t="s">
        <v>388</v>
      </c>
      <c r="E121" s="14">
        <v>180</v>
      </c>
      <c r="F121" s="12"/>
      <c r="G121" s="12"/>
    </row>
    <row r="122" spans="1:7" ht="12.75">
      <c r="A122" s="4" t="s">
        <v>288</v>
      </c>
      <c r="B122">
        <v>56.18751</v>
      </c>
      <c r="C122">
        <v>29.66169</v>
      </c>
      <c r="D122" t="s">
        <v>388</v>
      </c>
      <c r="E122" s="14">
        <v>185</v>
      </c>
      <c r="F122" s="12"/>
      <c r="G122" s="12"/>
    </row>
    <row r="123" spans="1:7" ht="12.75">
      <c r="A123" s="4" t="s">
        <v>289</v>
      </c>
      <c r="B123">
        <v>56.1713</v>
      </c>
      <c r="C123">
        <v>29.65624</v>
      </c>
      <c r="D123" t="s">
        <v>388</v>
      </c>
      <c r="E123" s="14">
        <v>175</v>
      </c>
      <c r="F123" s="12"/>
      <c r="G123" s="12"/>
    </row>
    <row r="124" spans="1:7" ht="12.75">
      <c r="A124" s="4" t="s">
        <v>290</v>
      </c>
      <c r="B124">
        <v>56.17109</v>
      </c>
      <c r="C124">
        <v>29.65534</v>
      </c>
      <c r="D124" t="s">
        <v>388</v>
      </c>
      <c r="E124" s="14">
        <v>177</v>
      </c>
      <c r="F124" s="12"/>
      <c r="G124" s="12"/>
    </row>
    <row r="125" spans="1:7" ht="12.75">
      <c r="A125" s="4" t="s">
        <v>291</v>
      </c>
      <c r="B125">
        <v>56.17084</v>
      </c>
      <c r="C125">
        <v>29.65452</v>
      </c>
      <c r="D125" t="s">
        <v>388</v>
      </c>
      <c r="E125" s="14">
        <v>176</v>
      </c>
      <c r="F125" s="12"/>
      <c r="G125" s="12"/>
    </row>
    <row r="126" spans="1:7" ht="12.75">
      <c r="A126" s="4" t="s">
        <v>292</v>
      </c>
      <c r="B126">
        <v>56.16519</v>
      </c>
      <c r="C126">
        <v>29.65157</v>
      </c>
      <c r="D126" t="s">
        <v>388</v>
      </c>
      <c r="E126" s="14">
        <v>625</v>
      </c>
      <c r="F126" s="12"/>
      <c r="G126" s="12"/>
    </row>
    <row r="127" spans="1:7" ht="12.75">
      <c r="A127" s="4" t="s">
        <v>293</v>
      </c>
      <c r="B127">
        <v>56.16502</v>
      </c>
      <c r="C127">
        <v>29.6514</v>
      </c>
      <c r="D127" t="s">
        <v>388</v>
      </c>
      <c r="E127" s="14">
        <v>203</v>
      </c>
      <c r="F127" s="12"/>
      <c r="G127" s="12"/>
    </row>
    <row r="128" spans="1:7" ht="12.75">
      <c r="A128" s="4" t="s">
        <v>294</v>
      </c>
      <c r="B128">
        <v>56.16557</v>
      </c>
      <c r="C128">
        <v>29.65478</v>
      </c>
      <c r="D128" t="s">
        <v>388</v>
      </c>
      <c r="E128" s="14">
        <v>174</v>
      </c>
      <c r="F128" s="12"/>
      <c r="G128" s="12"/>
    </row>
    <row r="129" spans="1:7" ht="12.75">
      <c r="A129" s="4" t="s">
        <v>295</v>
      </c>
      <c r="B129">
        <v>56.16376</v>
      </c>
      <c r="C129">
        <v>29.65167</v>
      </c>
      <c r="D129" t="s">
        <v>388</v>
      </c>
      <c r="E129" s="14">
        <v>214</v>
      </c>
      <c r="F129" s="12"/>
      <c r="G129" s="12"/>
    </row>
    <row r="130" spans="1:7" ht="12.75">
      <c r="A130" s="4" t="s">
        <v>296</v>
      </c>
      <c r="B130">
        <v>56.15707</v>
      </c>
      <c r="C130">
        <v>29.65316</v>
      </c>
      <c r="D130" t="s">
        <v>388</v>
      </c>
      <c r="E130" s="14">
        <v>54</v>
      </c>
      <c r="F130" s="12"/>
      <c r="G130" s="12"/>
    </row>
    <row r="131" spans="1:7" ht="12.75">
      <c r="A131" s="4" t="s">
        <v>297</v>
      </c>
      <c r="B131">
        <v>56.15705</v>
      </c>
      <c r="C131">
        <v>29.65323</v>
      </c>
      <c r="D131" t="s">
        <v>388</v>
      </c>
      <c r="E131" s="14">
        <v>89</v>
      </c>
      <c r="F131" s="12"/>
      <c r="G131" s="12"/>
    </row>
    <row r="132" spans="1:7" ht="12.75">
      <c r="A132" s="4" t="s">
        <v>298</v>
      </c>
      <c r="B132">
        <v>56.15683</v>
      </c>
      <c r="C132">
        <v>29.65353</v>
      </c>
      <c r="D132" t="s">
        <v>388</v>
      </c>
      <c r="E132" s="14">
        <v>166</v>
      </c>
      <c r="F132" s="12"/>
      <c r="G132" s="12"/>
    </row>
    <row r="133" spans="1:7" ht="12.75">
      <c r="A133" s="4" t="s">
        <v>299</v>
      </c>
      <c r="B133">
        <v>56.15604</v>
      </c>
      <c r="C133">
        <v>29.65455</v>
      </c>
      <c r="D133" t="s">
        <v>388</v>
      </c>
      <c r="E133" s="14">
        <v>223</v>
      </c>
      <c r="F133" s="12"/>
      <c r="G133" s="12"/>
    </row>
    <row r="134" spans="1:7" ht="12.75">
      <c r="A134" s="4" t="s">
        <v>300</v>
      </c>
      <c r="B134">
        <v>56.15488</v>
      </c>
      <c r="C134">
        <v>29.65593</v>
      </c>
      <c r="D134" t="s">
        <v>388</v>
      </c>
      <c r="E134" s="14">
        <v>280</v>
      </c>
      <c r="F134" s="12"/>
      <c r="G134" s="12"/>
    </row>
    <row r="135" spans="1:7" ht="12.75">
      <c r="A135" s="4" t="s">
        <v>301</v>
      </c>
      <c r="B135">
        <v>56.15189</v>
      </c>
      <c r="C135">
        <v>29.65889</v>
      </c>
      <c r="D135" t="s">
        <v>388</v>
      </c>
      <c r="E135" s="14">
        <v>157</v>
      </c>
      <c r="F135" s="12"/>
      <c r="G135" s="12"/>
    </row>
    <row r="136" spans="1:7" ht="12.75">
      <c r="A136" s="4" t="s">
        <v>302</v>
      </c>
      <c r="B136">
        <v>56.15328</v>
      </c>
      <c r="C136">
        <v>29.65665</v>
      </c>
      <c r="D136" t="s">
        <v>388</v>
      </c>
      <c r="E136" s="14">
        <v>164</v>
      </c>
      <c r="F136" s="12"/>
      <c r="G136" s="12"/>
    </row>
    <row r="137" spans="1:7" ht="12.75">
      <c r="A137" s="4" t="s">
        <v>303</v>
      </c>
      <c r="B137">
        <v>56.15802</v>
      </c>
      <c r="C137">
        <v>29.65656</v>
      </c>
      <c r="D137" t="s">
        <v>388</v>
      </c>
      <c r="E137" s="14">
        <v>165</v>
      </c>
      <c r="F137" s="12"/>
      <c r="G137" s="12"/>
    </row>
    <row r="138" spans="1:7" ht="12.75">
      <c r="A138" s="4" t="s">
        <v>305</v>
      </c>
      <c r="B138">
        <v>56.16339</v>
      </c>
      <c r="C138">
        <v>29.65613</v>
      </c>
      <c r="D138" t="s">
        <v>388</v>
      </c>
      <c r="E138" s="14">
        <v>207</v>
      </c>
      <c r="F138" s="12"/>
      <c r="G138" s="12"/>
    </row>
    <row r="139" spans="1:7" ht="12.75">
      <c r="A139" s="4" t="s">
        <v>306</v>
      </c>
      <c r="B139">
        <v>56.16524</v>
      </c>
      <c r="C139">
        <v>29.65118</v>
      </c>
      <c r="D139" t="s">
        <v>388</v>
      </c>
      <c r="E139" s="14">
        <v>620</v>
      </c>
      <c r="F139" s="12"/>
      <c r="G139" s="12"/>
    </row>
    <row r="140" spans="1:7" ht="12.75">
      <c r="A140" s="4" t="s">
        <v>307</v>
      </c>
      <c r="B140">
        <v>56.16747</v>
      </c>
      <c r="C140">
        <v>29.65261</v>
      </c>
      <c r="D140" t="s">
        <v>388</v>
      </c>
      <c r="E140" s="14">
        <v>167</v>
      </c>
      <c r="F140" s="12"/>
      <c r="G140" s="12"/>
    </row>
    <row r="141" spans="1:4" ht="12.75">
      <c r="A141" s="4" t="s">
        <v>308</v>
      </c>
      <c r="B141">
        <v>56.20146</v>
      </c>
      <c r="C141">
        <v>29.64839</v>
      </c>
      <c r="D141" t="s">
        <v>388</v>
      </c>
    </row>
    <row r="142" spans="1:7" ht="12.75">
      <c r="A142" s="4" t="s">
        <v>347</v>
      </c>
      <c r="B142">
        <v>56.20208</v>
      </c>
      <c r="C142">
        <v>29.6602</v>
      </c>
      <c r="D142" t="s">
        <v>388</v>
      </c>
      <c r="E142" s="14">
        <v>127</v>
      </c>
      <c r="F142" s="12"/>
      <c r="G142" s="12"/>
    </row>
    <row r="143" spans="1:7" ht="12.75">
      <c r="A143" s="4" t="s">
        <v>348</v>
      </c>
      <c r="B143">
        <v>56.20196</v>
      </c>
      <c r="C143">
        <v>29.66011</v>
      </c>
      <c r="D143" t="s">
        <v>388</v>
      </c>
      <c r="E143" s="14">
        <v>131</v>
      </c>
      <c r="F143" s="12"/>
      <c r="G143" s="12"/>
    </row>
    <row r="144" spans="1:7" ht="12.75">
      <c r="A144" s="4" t="s">
        <v>349</v>
      </c>
      <c r="B144">
        <v>56.20178</v>
      </c>
      <c r="C144">
        <v>29.65993</v>
      </c>
      <c r="D144" t="s">
        <v>388</v>
      </c>
      <c r="E144" s="14">
        <v>126</v>
      </c>
      <c r="F144" s="12"/>
      <c r="G144" s="12"/>
    </row>
    <row r="145" spans="1:7" ht="12.75">
      <c r="A145" s="4" t="s">
        <v>350</v>
      </c>
      <c r="B145">
        <v>56.20154</v>
      </c>
      <c r="C145">
        <v>29.65974</v>
      </c>
      <c r="D145" t="s">
        <v>388</v>
      </c>
      <c r="E145" s="14">
        <v>127</v>
      </c>
      <c r="F145" s="12"/>
      <c r="G145" s="12"/>
    </row>
    <row r="146" spans="1:7" ht="12.75">
      <c r="A146" s="4" t="s">
        <v>351</v>
      </c>
      <c r="B146">
        <v>56.20143</v>
      </c>
      <c r="C146">
        <v>29.65965</v>
      </c>
      <c r="D146" t="s">
        <v>388</v>
      </c>
      <c r="E146" s="14">
        <v>125</v>
      </c>
      <c r="F146" s="12"/>
      <c r="G146" s="12"/>
    </row>
    <row r="147" spans="1:7" ht="12.75">
      <c r="A147" s="4" t="s">
        <v>352</v>
      </c>
      <c r="B147">
        <v>56.20142</v>
      </c>
      <c r="C147">
        <v>29.65995</v>
      </c>
      <c r="D147" t="s">
        <v>388</v>
      </c>
      <c r="E147" s="14">
        <v>123</v>
      </c>
      <c r="F147" s="12"/>
      <c r="G147" s="12"/>
    </row>
    <row r="148" spans="1:7" ht="12.75">
      <c r="A148" s="4" t="s">
        <v>353</v>
      </c>
      <c r="B148">
        <v>56.20148</v>
      </c>
      <c r="C148">
        <v>29.65999</v>
      </c>
      <c r="D148" t="s">
        <v>388</v>
      </c>
      <c r="E148" s="14">
        <v>83</v>
      </c>
      <c r="F148" s="12"/>
      <c r="G148" s="12"/>
    </row>
    <row r="149" spans="1:7" ht="12.75">
      <c r="A149" s="4" t="s">
        <v>354</v>
      </c>
      <c r="B149">
        <v>56.20153</v>
      </c>
      <c r="C149">
        <v>29.66038</v>
      </c>
      <c r="D149" t="s">
        <v>388</v>
      </c>
      <c r="E149" s="14">
        <v>98</v>
      </c>
      <c r="F149" s="12"/>
      <c r="G149" s="12"/>
    </row>
    <row r="150" spans="1:7" ht="12.75">
      <c r="A150" s="4" t="s">
        <v>355</v>
      </c>
      <c r="B150">
        <v>56.20146</v>
      </c>
      <c r="C150">
        <v>29.65956</v>
      </c>
      <c r="D150" t="s">
        <v>388</v>
      </c>
      <c r="E150" s="14">
        <v>126</v>
      </c>
      <c r="F150" s="12"/>
      <c r="G150" s="12"/>
    </row>
    <row r="151" spans="1:7" ht="12.75">
      <c r="A151" s="4" t="s">
        <v>356</v>
      </c>
      <c r="B151">
        <v>56.20136</v>
      </c>
      <c r="C151">
        <v>29.65955</v>
      </c>
      <c r="D151" t="s">
        <v>388</v>
      </c>
      <c r="E151" s="14">
        <v>124</v>
      </c>
      <c r="F151" s="12"/>
      <c r="G151" s="12"/>
    </row>
    <row r="152" spans="1:7" ht="12.75">
      <c r="A152" s="4" t="s">
        <v>357</v>
      </c>
      <c r="B152">
        <v>56.20095</v>
      </c>
      <c r="C152">
        <v>29.65925</v>
      </c>
      <c r="D152" t="s">
        <v>388</v>
      </c>
      <c r="E152" s="14">
        <v>126</v>
      </c>
      <c r="F152" s="12"/>
      <c r="G152" s="12"/>
    </row>
    <row r="153" spans="1:7" ht="12.75">
      <c r="A153" s="4" t="s">
        <v>358</v>
      </c>
      <c r="B153">
        <v>56.20093</v>
      </c>
      <c r="C153">
        <v>29.6593</v>
      </c>
      <c r="D153" t="s">
        <v>388</v>
      </c>
      <c r="E153" s="14">
        <v>126</v>
      </c>
      <c r="F153" s="12"/>
      <c r="G153" s="12"/>
    </row>
    <row r="154" spans="1:7" ht="12.75">
      <c r="A154" s="4" t="s">
        <v>359</v>
      </c>
      <c r="B154">
        <v>56.20058</v>
      </c>
      <c r="C154">
        <v>29.65872</v>
      </c>
      <c r="D154" t="s">
        <v>388</v>
      </c>
      <c r="E154" s="14">
        <v>127</v>
      </c>
      <c r="F154" s="12"/>
      <c r="G154" s="12"/>
    </row>
    <row r="155" spans="1:7" ht="12.75">
      <c r="A155" s="4" t="s">
        <v>360</v>
      </c>
      <c r="B155">
        <v>56.20021</v>
      </c>
      <c r="C155">
        <v>29.65848</v>
      </c>
      <c r="D155" t="s">
        <v>388</v>
      </c>
      <c r="E155" s="14">
        <v>124</v>
      </c>
      <c r="F155" s="12"/>
      <c r="G155" s="12"/>
    </row>
    <row r="156" spans="1:7" ht="12.75">
      <c r="A156" s="4" t="s">
        <v>361</v>
      </c>
      <c r="B156">
        <v>56.20018</v>
      </c>
      <c r="C156">
        <v>29.65815</v>
      </c>
      <c r="D156" t="s">
        <v>388</v>
      </c>
      <c r="E156" s="14">
        <v>126</v>
      </c>
      <c r="F156" s="12"/>
      <c r="G156" s="12"/>
    </row>
    <row r="157" spans="1:7" ht="12.75">
      <c r="A157" s="4" t="s">
        <v>363</v>
      </c>
      <c r="B157">
        <v>56.20002</v>
      </c>
      <c r="C157">
        <v>29.65823</v>
      </c>
      <c r="D157" t="s">
        <v>388</v>
      </c>
      <c r="E157" s="14">
        <v>125</v>
      </c>
      <c r="F157" s="12"/>
      <c r="G157" s="12"/>
    </row>
    <row r="158" spans="1:7" ht="12.75">
      <c r="A158" s="4" t="s">
        <v>364</v>
      </c>
      <c r="B158">
        <v>56.2</v>
      </c>
      <c r="C158">
        <v>29.65814</v>
      </c>
      <c r="D158" t="s">
        <v>388</v>
      </c>
      <c r="E158" s="14">
        <v>127</v>
      </c>
      <c r="F158" s="12"/>
      <c r="G158" s="12"/>
    </row>
    <row r="159" spans="1:7" ht="12.75">
      <c r="A159" s="4" t="s">
        <v>365</v>
      </c>
      <c r="B159">
        <v>56.20014</v>
      </c>
      <c r="C159">
        <v>29.65808</v>
      </c>
      <c r="D159" t="s">
        <v>388</v>
      </c>
      <c r="E159" s="14">
        <v>124</v>
      </c>
      <c r="F159" s="12"/>
      <c r="G159" s="12"/>
    </row>
    <row r="160" spans="1:7" ht="12.75">
      <c r="A160" s="4" t="s">
        <v>366</v>
      </c>
      <c r="B160">
        <v>56.2003</v>
      </c>
      <c r="C160">
        <v>29.65783</v>
      </c>
      <c r="D160" t="s">
        <v>388</v>
      </c>
      <c r="E160" s="14">
        <v>125</v>
      </c>
      <c r="F160" s="12"/>
      <c r="G160" s="12"/>
    </row>
    <row r="161" spans="1:7" ht="12.75">
      <c r="A161" s="4" t="s">
        <v>367</v>
      </c>
      <c r="B161">
        <v>56.19978</v>
      </c>
      <c r="C161">
        <v>29.65768</v>
      </c>
      <c r="D161" t="s">
        <v>388</v>
      </c>
      <c r="E161" s="14">
        <v>127</v>
      </c>
      <c r="F161" s="12"/>
      <c r="G161" s="12"/>
    </row>
    <row r="162" spans="1:7" ht="12.75">
      <c r="A162" s="4" t="s">
        <v>368</v>
      </c>
      <c r="B162">
        <v>56.19926</v>
      </c>
      <c r="C162">
        <v>29.65797</v>
      </c>
      <c r="D162" t="s">
        <v>388</v>
      </c>
      <c r="E162" s="14">
        <v>127</v>
      </c>
      <c r="F162" s="12"/>
      <c r="G162" s="12"/>
    </row>
    <row r="163" spans="1:7" ht="12.75">
      <c r="A163" s="4" t="s">
        <v>369</v>
      </c>
      <c r="B163">
        <v>56.199</v>
      </c>
      <c r="C163">
        <v>29.6579</v>
      </c>
      <c r="D163" t="s">
        <v>388</v>
      </c>
      <c r="E163" s="14">
        <v>127</v>
      </c>
      <c r="F163" s="12"/>
      <c r="G163" s="12"/>
    </row>
    <row r="164" spans="1:7" ht="12.75">
      <c r="A164" s="4" t="s">
        <v>370</v>
      </c>
      <c r="B164">
        <v>56.19883</v>
      </c>
      <c r="C164">
        <v>29.65886</v>
      </c>
      <c r="D164" t="s">
        <v>388</v>
      </c>
      <c r="E164" s="14">
        <v>119</v>
      </c>
      <c r="F164" s="12"/>
      <c r="G164" s="12"/>
    </row>
    <row r="165" spans="1:7" ht="12.75">
      <c r="A165" s="4" t="s">
        <v>371</v>
      </c>
      <c r="B165">
        <v>56.19547</v>
      </c>
      <c r="C165">
        <v>29.66177</v>
      </c>
      <c r="D165" t="s">
        <v>388</v>
      </c>
      <c r="E165" s="14">
        <v>334</v>
      </c>
      <c r="F165" s="12"/>
      <c r="G165" s="12"/>
    </row>
    <row r="166" spans="5:7" ht="12.75">
      <c r="E166" s="12"/>
      <c r="F166" s="12"/>
      <c r="G166" s="12"/>
    </row>
    <row r="167" spans="5:7" ht="12.75">
      <c r="E167" s="12"/>
      <c r="F167" s="12"/>
      <c r="G167" s="12"/>
    </row>
    <row r="168" spans="5:7" ht="12.75">
      <c r="E168" s="12"/>
      <c r="F168" s="12"/>
      <c r="G168" s="14"/>
    </row>
    <row r="169" spans="5:7" ht="12.75">
      <c r="E169" s="12"/>
      <c r="F169" s="12"/>
      <c r="G169" s="14"/>
    </row>
    <row r="170" spans="5:6" ht="12.75">
      <c r="E170" s="12"/>
      <c r="F170" s="12"/>
    </row>
    <row r="201" ht="15" customHeight="1"/>
    <row r="213" spans="1:7" ht="12.75">
      <c r="A213" s="23"/>
      <c r="F213" s="14"/>
      <c r="G213" s="14"/>
    </row>
    <row r="214" spans="1:7" ht="12.75">
      <c r="A214" s="23"/>
      <c r="F214" s="14"/>
      <c r="G214" s="14"/>
    </row>
    <row r="215" spans="6:7" ht="12.75">
      <c r="F215" s="14"/>
      <c r="G215" s="14"/>
    </row>
    <row r="216" spans="6:7" ht="12.75">
      <c r="F216" s="14"/>
      <c r="G216" s="14"/>
    </row>
    <row r="217" spans="6:7" ht="12.75">
      <c r="F217" s="14"/>
      <c r="G217" s="14"/>
    </row>
    <row r="218" spans="6:7" ht="12.75">
      <c r="F218" s="14"/>
      <c r="G218" s="14"/>
    </row>
    <row r="219" spans="6:7" ht="12.75">
      <c r="F219" s="14"/>
      <c r="G219" s="14"/>
    </row>
    <row r="220" spans="6:7" ht="12.75">
      <c r="F220" s="14"/>
      <c r="G220" s="14"/>
    </row>
    <row r="221" spans="6:7" ht="12.75">
      <c r="F221" s="14"/>
      <c r="G221" s="14"/>
    </row>
    <row r="222" spans="6:7" ht="12.75">
      <c r="F222" s="14"/>
      <c r="G222" s="14"/>
    </row>
    <row r="223" spans="6:7" ht="12.75">
      <c r="F223" s="14"/>
      <c r="G223" s="14"/>
    </row>
    <row r="224" spans="6:7" ht="12.75">
      <c r="F224" s="14"/>
      <c r="G224" s="14"/>
    </row>
    <row r="225" spans="6:7" ht="12.75">
      <c r="F225" s="14"/>
      <c r="G225" s="14"/>
    </row>
    <row r="226" spans="6:7" ht="12.75">
      <c r="F226" s="14"/>
      <c r="G226" s="14"/>
    </row>
    <row r="227" spans="6:7" ht="12.75">
      <c r="F227" s="14"/>
      <c r="G227" s="14"/>
    </row>
    <row r="228" spans="6:7" ht="12.75">
      <c r="F228" s="14"/>
      <c r="G228" s="14"/>
    </row>
    <row r="229" spans="6:7" ht="12.75">
      <c r="F229" s="14"/>
      <c r="G229" s="14"/>
    </row>
    <row r="230" spans="6:7" ht="12.75">
      <c r="F230" s="14"/>
      <c r="G230" s="14"/>
    </row>
    <row r="231" spans="6:7" ht="12.75">
      <c r="F231" s="14"/>
      <c r="G231" s="14"/>
    </row>
    <row r="232" spans="6:7" ht="12.75">
      <c r="F232" s="14"/>
      <c r="G232" s="14"/>
    </row>
    <row r="233" spans="6:7" ht="12.75">
      <c r="F233" s="14"/>
      <c r="G233" s="14"/>
    </row>
    <row r="234" spans="6:7" ht="12.75">
      <c r="F234" s="14"/>
      <c r="G234" s="14"/>
    </row>
    <row r="235" spans="6:7" ht="12.75">
      <c r="F235" s="14"/>
      <c r="G235" s="14"/>
    </row>
    <row r="236" spans="6:7" ht="12.75">
      <c r="F236" s="14"/>
      <c r="G236" s="14"/>
    </row>
    <row r="237" spans="6:7" ht="12.75">
      <c r="F237" s="14"/>
      <c r="G237" s="14"/>
    </row>
    <row r="238" spans="6:7" ht="12.75">
      <c r="F238" s="14"/>
      <c r="G238" s="14"/>
    </row>
    <row r="239" spans="6:8" ht="12.75">
      <c r="F239" s="14"/>
      <c r="G239" s="14"/>
      <c r="H239" s="22"/>
    </row>
    <row r="240" spans="6:7" ht="12.75">
      <c r="F240" s="14"/>
      <c r="G240" s="14"/>
    </row>
    <row r="241" spans="6:7" ht="12.75">
      <c r="F241" s="14"/>
      <c r="G241" s="14"/>
    </row>
    <row r="242" spans="6:7" ht="12.75">
      <c r="F242" s="14"/>
      <c r="G242" s="14"/>
    </row>
    <row r="243" spans="6:7" ht="12.75">
      <c r="F243" s="14"/>
      <c r="G243" s="14"/>
    </row>
    <row r="244" spans="6:7" ht="12.75">
      <c r="F244" s="14"/>
      <c r="G244" s="14"/>
    </row>
    <row r="245" spans="6:7" ht="12.75">
      <c r="F245" s="14"/>
      <c r="G245" s="14"/>
    </row>
    <row r="246" spans="6:7" ht="12.75">
      <c r="F246" s="14"/>
      <c r="G246" s="14"/>
    </row>
    <row r="247" spans="6:7" ht="12.75">
      <c r="F247" s="14"/>
      <c r="G247" s="14"/>
    </row>
    <row r="248" spans="6:7" ht="12.75">
      <c r="F248" s="14"/>
      <c r="G248" s="14"/>
    </row>
    <row r="249" spans="6:7" ht="12.75">
      <c r="F249" s="14"/>
      <c r="G249" s="14"/>
    </row>
    <row r="250" spans="6:7" ht="12.75">
      <c r="F250" s="14"/>
      <c r="G250" s="14"/>
    </row>
    <row r="251" spans="6:7" ht="12.75">
      <c r="F251" s="14"/>
      <c r="G251" s="14"/>
    </row>
    <row r="252" spans="6:7" ht="12.75">
      <c r="F252" s="14"/>
      <c r="G252" s="14"/>
    </row>
    <row r="253" spans="6:7" ht="12.75">
      <c r="F253" s="14"/>
      <c r="G253" s="14"/>
    </row>
    <row r="254" spans="6:7" ht="12.75">
      <c r="F254" s="14"/>
      <c r="G254" s="14"/>
    </row>
    <row r="255" spans="6:7" ht="12.75">
      <c r="F255" s="14"/>
      <c r="G255" s="14"/>
    </row>
    <row r="256" spans="6:7" ht="12.75">
      <c r="F256" s="14"/>
      <c r="G256" s="14"/>
    </row>
    <row r="257" spans="6:7" ht="12.75">
      <c r="F257" s="14"/>
      <c r="G257" s="14"/>
    </row>
    <row r="258" spans="6:7" ht="12.75">
      <c r="F258" s="14"/>
      <c r="G258" s="14"/>
    </row>
    <row r="259" spans="6:7" ht="12.75">
      <c r="F259" s="14"/>
      <c r="G259" s="14"/>
    </row>
    <row r="260" spans="6:8" ht="12.75">
      <c r="F260" s="14"/>
      <c r="G260" s="14"/>
      <c r="H260" s="17"/>
    </row>
    <row r="261" spans="6:8" ht="12.75">
      <c r="F261" s="14"/>
      <c r="G261" s="14"/>
      <c r="H261" s="22"/>
    </row>
    <row r="262" spans="6:8" ht="12.75">
      <c r="F262" s="14"/>
      <c r="G262" s="14"/>
      <c r="H262" s="17"/>
    </row>
    <row r="263" spans="6:8" ht="12.75">
      <c r="F263" s="14"/>
      <c r="G263" s="14"/>
      <c r="H263" s="17"/>
    </row>
    <row r="264" spans="6:8" ht="12.75">
      <c r="F264" s="14"/>
      <c r="G264" s="14"/>
      <c r="H264" s="17"/>
    </row>
    <row r="269" spans="6:7" ht="12.75">
      <c r="F269" s="14"/>
      <c r="G269" s="14"/>
    </row>
    <row r="270" spans="6:7" ht="12.75">
      <c r="F270" s="14"/>
      <c r="G270" s="14"/>
    </row>
    <row r="271" spans="6:7" ht="12.75">
      <c r="F271" s="14"/>
      <c r="G27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9"/>
  <sheetViews>
    <sheetView zoomScale="75" zoomScaleNormal="75" workbookViewId="0" topLeftCell="A1">
      <selection activeCell="C28" sqref="C28"/>
    </sheetView>
  </sheetViews>
  <sheetFormatPr defaultColWidth="9.00390625" defaultRowHeight="12.75"/>
  <cols>
    <col min="1" max="1" width="9.25390625" style="0" bestFit="1" customWidth="1"/>
    <col min="2" max="2" width="12.00390625" style="0" customWidth="1"/>
    <col min="3" max="4" width="10.125" style="0" customWidth="1"/>
    <col min="5" max="5" width="5.375" style="0" customWidth="1"/>
    <col min="6" max="6" width="6.625" style="0" customWidth="1"/>
    <col min="7" max="7" width="51.00390625" style="0" customWidth="1"/>
  </cols>
  <sheetData>
    <row r="1" spans="1:6" ht="12.75">
      <c r="A1" s="4" t="s">
        <v>30</v>
      </c>
      <c r="B1">
        <v>56.19292</v>
      </c>
      <c r="C1">
        <v>29.67995</v>
      </c>
      <c r="D1" t="s">
        <v>389</v>
      </c>
      <c r="E1" s="14">
        <v>8.09</v>
      </c>
      <c r="F1" s="14"/>
    </row>
    <row r="2" spans="1:6" ht="12.75">
      <c r="A2" s="4" t="s">
        <v>37</v>
      </c>
      <c r="B2">
        <v>56.19373</v>
      </c>
      <c r="C2">
        <v>29.67281</v>
      </c>
      <c r="D2" t="s">
        <v>389</v>
      </c>
      <c r="E2" s="14">
        <v>8.22</v>
      </c>
      <c r="F2" s="14"/>
    </row>
    <row r="3" spans="1:6" ht="12.75">
      <c r="A3" s="4" t="s">
        <v>38</v>
      </c>
      <c r="B3">
        <v>56.19462</v>
      </c>
      <c r="C3">
        <v>29.67041</v>
      </c>
      <c r="D3" t="s">
        <v>389</v>
      </c>
      <c r="E3" s="14">
        <v>8.68</v>
      </c>
      <c r="F3" s="14"/>
    </row>
    <row r="4" spans="1:6" ht="12.75">
      <c r="A4" s="4" t="s">
        <v>39</v>
      </c>
      <c r="B4">
        <v>56.19474</v>
      </c>
      <c r="C4">
        <v>29.66935</v>
      </c>
      <c r="D4" t="s">
        <v>389</v>
      </c>
      <c r="E4" s="14">
        <v>8.68</v>
      </c>
      <c r="F4" s="14"/>
    </row>
    <row r="5" spans="1:6" ht="12.75">
      <c r="A5" s="4" t="s">
        <v>40</v>
      </c>
      <c r="B5">
        <v>56.19376</v>
      </c>
      <c r="C5">
        <v>29.66742</v>
      </c>
      <c r="D5" t="s">
        <v>389</v>
      </c>
      <c r="E5" s="14">
        <v>7.57</v>
      </c>
      <c r="F5" s="14"/>
    </row>
    <row r="6" spans="1:6" ht="12.75">
      <c r="A6" s="4" t="s">
        <v>41</v>
      </c>
      <c r="B6">
        <v>56.19359</v>
      </c>
      <c r="C6">
        <v>29.66725</v>
      </c>
      <c r="D6" t="s">
        <v>389</v>
      </c>
      <c r="E6" s="14">
        <v>8.74</v>
      </c>
      <c r="F6" s="14"/>
    </row>
    <row r="7" spans="1:6" ht="12.75">
      <c r="A7" s="4" t="s">
        <v>42</v>
      </c>
      <c r="B7">
        <v>56.19267</v>
      </c>
      <c r="C7">
        <v>29.66118</v>
      </c>
      <c r="D7" t="s">
        <v>389</v>
      </c>
      <c r="E7" s="14">
        <v>8.88</v>
      </c>
      <c r="F7" s="14"/>
    </row>
    <row r="8" spans="1:6" ht="12.75">
      <c r="A8" s="4" t="s">
        <v>43</v>
      </c>
      <c r="B8">
        <v>56.19583</v>
      </c>
      <c r="C8">
        <v>29.65567</v>
      </c>
      <c r="D8" t="s">
        <v>389</v>
      </c>
      <c r="E8" s="14">
        <v>8.26</v>
      </c>
      <c r="F8" s="14"/>
    </row>
    <row r="9" spans="1:6" ht="12.75">
      <c r="A9" s="4" t="s">
        <v>44</v>
      </c>
      <c r="B9">
        <v>56.19786</v>
      </c>
      <c r="C9">
        <v>29.65264</v>
      </c>
      <c r="D9" t="s">
        <v>389</v>
      </c>
      <c r="E9" s="14">
        <v>8.9</v>
      </c>
      <c r="F9" s="14"/>
    </row>
    <row r="10" spans="1:6" ht="12.75">
      <c r="A10" s="4" t="s">
        <v>45</v>
      </c>
      <c r="B10">
        <v>56.2013</v>
      </c>
      <c r="C10">
        <v>29.64791</v>
      </c>
      <c r="D10" t="s">
        <v>389</v>
      </c>
      <c r="E10" s="14">
        <v>7.2</v>
      </c>
      <c r="F10" s="14"/>
    </row>
    <row r="11" spans="1:6" ht="12.75">
      <c r="A11" s="4" t="s">
        <v>46</v>
      </c>
      <c r="B11">
        <v>56.20364</v>
      </c>
      <c r="C11">
        <v>29.64452</v>
      </c>
      <c r="D11" t="s">
        <v>389</v>
      </c>
      <c r="E11" s="14">
        <v>6.77</v>
      </c>
      <c r="F11" s="14"/>
    </row>
    <row r="12" spans="1:6" ht="12.75">
      <c r="A12" s="4" t="s">
        <v>47</v>
      </c>
      <c r="B12">
        <v>56.21075</v>
      </c>
      <c r="C12">
        <v>29.64012</v>
      </c>
      <c r="D12" t="s">
        <v>389</v>
      </c>
      <c r="E12" s="14">
        <v>4.34</v>
      </c>
      <c r="F12" s="14"/>
    </row>
    <row r="13" spans="1:6" ht="12.75">
      <c r="A13" s="4" t="s">
        <v>48</v>
      </c>
      <c r="B13">
        <v>56.19511</v>
      </c>
      <c r="C13">
        <v>29.67386</v>
      </c>
      <c r="D13" t="s">
        <v>389</v>
      </c>
      <c r="E13" s="14">
        <v>7.96</v>
      </c>
      <c r="F13" s="14"/>
    </row>
    <row r="14" spans="1:6" ht="12.75">
      <c r="A14" s="4" t="s">
        <v>49</v>
      </c>
      <c r="B14">
        <v>56.19641</v>
      </c>
      <c r="C14">
        <v>29.67349</v>
      </c>
      <c r="D14" t="s">
        <v>389</v>
      </c>
      <c r="E14" s="14">
        <v>8.18</v>
      </c>
      <c r="F14" s="14"/>
    </row>
    <row r="15" spans="1:6" ht="12.75">
      <c r="A15" s="4" t="s">
        <v>50</v>
      </c>
      <c r="B15">
        <v>56.20113</v>
      </c>
      <c r="C15">
        <v>29.68092</v>
      </c>
      <c r="D15" t="s">
        <v>389</v>
      </c>
      <c r="E15" s="14">
        <v>7.65</v>
      </c>
      <c r="F15" s="14"/>
    </row>
    <row r="16" spans="1:6" ht="12.75">
      <c r="A16" s="4" t="s">
        <v>51</v>
      </c>
      <c r="B16">
        <v>56.20215</v>
      </c>
      <c r="C16">
        <v>29.68369</v>
      </c>
      <c r="D16" t="s">
        <v>389</v>
      </c>
      <c r="E16" s="14">
        <v>8.36</v>
      </c>
      <c r="F16" s="14"/>
    </row>
    <row r="17" spans="1:6" ht="12.75">
      <c r="A17" s="4" t="s">
        <v>52</v>
      </c>
      <c r="B17">
        <v>56.20244</v>
      </c>
      <c r="C17">
        <v>29.68463</v>
      </c>
      <c r="D17" t="s">
        <v>389</v>
      </c>
      <c r="E17" s="14">
        <v>7.03</v>
      </c>
      <c r="F17" s="14"/>
    </row>
    <row r="18" spans="1:6" ht="12.75">
      <c r="A18" s="4" t="s">
        <v>53</v>
      </c>
      <c r="B18">
        <v>56.20229</v>
      </c>
      <c r="C18">
        <v>29.68496</v>
      </c>
      <c r="D18" t="s">
        <v>389</v>
      </c>
      <c r="E18" s="14">
        <v>8.57</v>
      </c>
      <c r="F18" s="14"/>
    </row>
    <row r="19" spans="1:6" ht="12.75">
      <c r="A19" s="4" t="s">
        <v>54</v>
      </c>
      <c r="B19">
        <v>56.20223</v>
      </c>
      <c r="C19">
        <v>29.68782</v>
      </c>
      <c r="D19" t="s">
        <v>389</v>
      </c>
      <c r="E19" s="14">
        <v>8.36</v>
      </c>
      <c r="F19" s="14"/>
    </row>
    <row r="20" spans="1:6" ht="12.75">
      <c r="A20" s="4" t="s">
        <v>55</v>
      </c>
      <c r="B20">
        <v>56.20275</v>
      </c>
      <c r="C20">
        <v>29.69086</v>
      </c>
      <c r="D20" t="s">
        <v>389</v>
      </c>
      <c r="E20" s="14">
        <v>8.64</v>
      </c>
      <c r="F20" s="14"/>
    </row>
    <row r="21" spans="1:6" ht="12.75">
      <c r="A21" s="4" t="s">
        <v>56</v>
      </c>
      <c r="B21">
        <v>56.20346</v>
      </c>
      <c r="C21">
        <v>29.69474</v>
      </c>
      <c r="D21" t="s">
        <v>389</v>
      </c>
      <c r="E21" s="14">
        <v>9.34</v>
      </c>
      <c r="F21" s="14"/>
    </row>
    <row r="22" spans="1:6" ht="12.75">
      <c r="A22" s="4" t="s">
        <v>57</v>
      </c>
      <c r="B22">
        <v>56.20463</v>
      </c>
      <c r="C22">
        <v>29.6967</v>
      </c>
      <c r="D22" t="s">
        <v>389</v>
      </c>
      <c r="E22" s="14">
        <v>8.8</v>
      </c>
      <c r="F22" s="14"/>
    </row>
    <row r="23" spans="1:6" ht="12.75">
      <c r="A23" s="4" t="s">
        <v>57</v>
      </c>
      <c r="B23">
        <v>56.20618</v>
      </c>
      <c r="C23">
        <v>29.69847</v>
      </c>
      <c r="D23" t="s">
        <v>389</v>
      </c>
      <c r="E23" s="14">
        <v>7.65</v>
      </c>
      <c r="F23" s="14"/>
    </row>
    <row r="24" spans="1:6" ht="12.75">
      <c r="A24" s="4" t="s">
        <v>58</v>
      </c>
      <c r="B24">
        <v>56.20675</v>
      </c>
      <c r="C24">
        <v>29.70051</v>
      </c>
      <c r="D24" t="s">
        <v>389</v>
      </c>
      <c r="E24" s="14">
        <v>8.54</v>
      </c>
      <c r="F24" s="14"/>
    </row>
    <row r="25" spans="1:6" ht="12.75">
      <c r="A25" s="4" t="s">
        <v>59</v>
      </c>
      <c r="B25">
        <v>56.20702</v>
      </c>
      <c r="C25">
        <v>29.70124</v>
      </c>
      <c r="D25" t="s">
        <v>389</v>
      </c>
      <c r="E25" s="14">
        <v>7.66</v>
      </c>
      <c r="F25" s="14"/>
    </row>
    <row r="26" spans="1:6" ht="12.75">
      <c r="A26" s="4" t="s">
        <v>60</v>
      </c>
      <c r="B26">
        <v>56.20702</v>
      </c>
      <c r="C26">
        <v>29.70166</v>
      </c>
      <c r="D26" t="s">
        <v>389</v>
      </c>
      <c r="E26" s="14">
        <v>8.59</v>
      </c>
      <c r="F26" s="14"/>
    </row>
    <row r="27" spans="1:6" ht="12.75">
      <c r="A27" s="4" t="s">
        <v>61</v>
      </c>
      <c r="B27">
        <v>56.20703</v>
      </c>
      <c r="C27">
        <v>29.70167</v>
      </c>
      <c r="D27" t="s">
        <v>389</v>
      </c>
      <c r="E27" s="14">
        <v>8.66</v>
      </c>
      <c r="F27" s="14"/>
    </row>
    <row r="28" spans="1:6" ht="12.75">
      <c r="A28" s="4" t="s">
        <v>62</v>
      </c>
      <c r="B28">
        <v>56.20927</v>
      </c>
      <c r="C28">
        <v>29.70757</v>
      </c>
      <c r="D28" t="s">
        <v>389</v>
      </c>
      <c r="E28" s="14">
        <v>9.1</v>
      </c>
      <c r="F28" s="14"/>
    </row>
    <row r="29" spans="1:6" ht="12.75">
      <c r="A29" s="4" t="s">
        <v>63</v>
      </c>
      <c r="B29">
        <v>56.20976</v>
      </c>
      <c r="C29">
        <v>29.71174</v>
      </c>
      <c r="D29" t="s">
        <v>389</v>
      </c>
      <c r="E29" s="14">
        <v>7.74</v>
      </c>
      <c r="F29" s="14"/>
    </row>
    <row r="30" spans="1:6" ht="12.75">
      <c r="A30" s="4" t="s">
        <v>64</v>
      </c>
      <c r="B30">
        <v>56.20995</v>
      </c>
      <c r="C30">
        <v>29.71674</v>
      </c>
      <c r="D30" t="s">
        <v>389</v>
      </c>
      <c r="E30" s="14">
        <v>8.33</v>
      </c>
      <c r="F30" s="14"/>
    </row>
    <row r="31" spans="1:6" ht="12.75">
      <c r="A31" s="4" t="s">
        <v>65</v>
      </c>
      <c r="B31">
        <v>56.20991</v>
      </c>
      <c r="C31">
        <v>29.7195</v>
      </c>
      <c r="D31" t="s">
        <v>389</v>
      </c>
      <c r="E31" s="14">
        <v>7.63</v>
      </c>
      <c r="F31" s="14"/>
    </row>
    <row r="32" spans="1:6" ht="12.75">
      <c r="A32" s="4" t="s">
        <v>66</v>
      </c>
      <c r="B32">
        <v>56.20997</v>
      </c>
      <c r="C32">
        <v>29.72048</v>
      </c>
      <c r="D32" t="s">
        <v>389</v>
      </c>
      <c r="E32" s="14">
        <v>7.08</v>
      </c>
      <c r="F32" s="14"/>
    </row>
    <row r="33" spans="1:6" ht="12.75">
      <c r="A33" s="4" t="s">
        <v>112</v>
      </c>
      <c r="B33">
        <v>56.1673</v>
      </c>
      <c r="C33">
        <v>29.58432</v>
      </c>
      <c r="D33" t="s">
        <v>389</v>
      </c>
      <c r="E33" s="14">
        <v>7.24</v>
      </c>
      <c r="F33" s="14"/>
    </row>
    <row r="34" spans="1:6" ht="12.75">
      <c r="A34" s="4" t="s">
        <v>113</v>
      </c>
      <c r="B34">
        <v>56.17153</v>
      </c>
      <c r="C34">
        <v>29.57904</v>
      </c>
      <c r="D34" t="s">
        <v>389</v>
      </c>
      <c r="E34" s="14">
        <v>7.57</v>
      </c>
      <c r="F34" s="14"/>
    </row>
    <row r="35" spans="1:6" ht="12.75">
      <c r="A35" s="4" t="s">
        <v>114</v>
      </c>
      <c r="B35">
        <v>56.17317</v>
      </c>
      <c r="C35">
        <v>29.57858</v>
      </c>
      <c r="D35" t="s">
        <v>389</v>
      </c>
      <c r="E35" s="14">
        <v>7.35</v>
      </c>
      <c r="F35" s="14"/>
    </row>
    <row r="36" spans="1:6" ht="12.75">
      <c r="A36" s="4" t="s">
        <v>115</v>
      </c>
      <c r="B36">
        <v>56.17361</v>
      </c>
      <c r="C36">
        <v>29.57735</v>
      </c>
      <c r="D36" t="s">
        <v>389</v>
      </c>
      <c r="E36" s="14">
        <v>7.22</v>
      </c>
      <c r="F36" s="14"/>
    </row>
    <row r="37" spans="1:6" ht="12.75">
      <c r="A37" s="4" t="s">
        <v>117</v>
      </c>
      <c r="B37">
        <v>56.17658</v>
      </c>
      <c r="C37">
        <v>29.55552</v>
      </c>
      <c r="D37" t="s">
        <v>389</v>
      </c>
      <c r="E37" s="14">
        <v>5.5</v>
      </c>
      <c r="F37" s="14"/>
    </row>
    <row r="38" spans="1:6" ht="12.75">
      <c r="A38" s="4" t="s">
        <v>126</v>
      </c>
      <c r="B38">
        <v>56.17206</v>
      </c>
      <c r="C38">
        <v>29.53818</v>
      </c>
      <c r="D38" t="s">
        <v>389</v>
      </c>
      <c r="E38" s="14">
        <v>7.1</v>
      </c>
      <c r="F38" s="14"/>
    </row>
    <row r="39" spans="1:6" ht="12.75">
      <c r="A39" s="4" t="s">
        <v>118</v>
      </c>
      <c r="B39">
        <v>56.17177</v>
      </c>
      <c r="C39">
        <v>29.53821</v>
      </c>
      <c r="D39" t="s">
        <v>389</v>
      </c>
      <c r="E39" s="14">
        <v>7.13</v>
      </c>
      <c r="F39" s="14"/>
    </row>
    <row r="40" spans="1:6" ht="12.75">
      <c r="A40" s="4" t="s">
        <v>119</v>
      </c>
      <c r="B40">
        <v>56.16897</v>
      </c>
      <c r="C40">
        <v>29.54208</v>
      </c>
      <c r="D40" t="s">
        <v>389</v>
      </c>
      <c r="E40" s="14">
        <v>7.82</v>
      </c>
      <c r="F40" s="14"/>
    </row>
    <row r="41" spans="1:6" ht="12.75">
      <c r="A41" s="4" t="s">
        <v>120</v>
      </c>
      <c r="B41">
        <v>56.17052</v>
      </c>
      <c r="C41">
        <v>29.55478</v>
      </c>
      <c r="D41" t="s">
        <v>389</v>
      </c>
      <c r="E41" s="14">
        <v>7.534</v>
      </c>
      <c r="F41" s="14"/>
    </row>
    <row r="42" spans="1:6" ht="12.75">
      <c r="A42" s="4" t="s">
        <v>121</v>
      </c>
      <c r="B42">
        <v>56.17667</v>
      </c>
      <c r="C42">
        <v>29.57875</v>
      </c>
      <c r="D42" t="s">
        <v>389</v>
      </c>
      <c r="E42" s="14">
        <v>7.1</v>
      </c>
      <c r="F42" s="14"/>
    </row>
    <row r="43" spans="1:6" ht="12.75">
      <c r="A43" s="4" t="s">
        <v>122</v>
      </c>
      <c r="B43">
        <v>56.17835</v>
      </c>
      <c r="C43">
        <v>29.58686</v>
      </c>
      <c r="D43" t="s">
        <v>389</v>
      </c>
      <c r="E43" s="14">
        <v>7.42</v>
      </c>
      <c r="F43" s="14"/>
    </row>
    <row r="44" spans="1:6" ht="12.75">
      <c r="A44" s="4" t="s">
        <v>123</v>
      </c>
      <c r="B44">
        <v>56.18069</v>
      </c>
      <c r="C44">
        <v>29.58511</v>
      </c>
      <c r="D44" t="s">
        <v>389</v>
      </c>
      <c r="E44" s="14">
        <v>6.4</v>
      </c>
      <c r="F44" s="14"/>
    </row>
    <row r="45" spans="1:6" ht="12.75">
      <c r="A45" s="4" t="s">
        <v>124</v>
      </c>
      <c r="B45">
        <v>56.19123</v>
      </c>
      <c r="C45">
        <v>29.59161</v>
      </c>
      <c r="D45" t="s">
        <v>389</v>
      </c>
      <c r="E45" s="9">
        <v>6.65</v>
      </c>
      <c r="F45" s="14"/>
    </row>
    <row r="46" spans="1:6" ht="12.75">
      <c r="A46" s="4" t="s">
        <v>125</v>
      </c>
      <c r="B46">
        <v>56.20574</v>
      </c>
      <c r="C46">
        <v>29.5901</v>
      </c>
      <c r="D46" t="s">
        <v>389</v>
      </c>
      <c r="E46" s="12">
        <v>7.48</v>
      </c>
      <c r="F46" s="12"/>
    </row>
    <row r="47" spans="1:6" ht="12.75">
      <c r="A47" s="4" t="s">
        <v>135</v>
      </c>
      <c r="B47">
        <v>56.21711</v>
      </c>
      <c r="C47">
        <v>29.63138</v>
      </c>
      <c r="D47" t="s">
        <v>389</v>
      </c>
      <c r="E47" s="12">
        <v>8.21</v>
      </c>
      <c r="F47" s="12"/>
    </row>
    <row r="48" spans="1:6" ht="12.75">
      <c r="A48" s="4" t="s">
        <v>136</v>
      </c>
      <c r="B48">
        <v>56.21875</v>
      </c>
      <c r="C48">
        <v>29.63483</v>
      </c>
      <c r="D48" t="s">
        <v>389</v>
      </c>
      <c r="E48" s="12">
        <v>8.08</v>
      </c>
      <c r="F48" s="12"/>
    </row>
    <row r="49" spans="1:6" ht="12.75">
      <c r="A49" s="4" t="s">
        <v>137</v>
      </c>
      <c r="B49">
        <v>56.21902</v>
      </c>
      <c r="C49">
        <v>29.63667</v>
      </c>
      <c r="D49" t="s">
        <v>389</v>
      </c>
      <c r="E49" s="12">
        <v>8.29</v>
      </c>
      <c r="F49" s="12"/>
    </row>
    <row r="50" spans="1:6" ht="12.75">
      <c r="A50" s="4" t="s">
        <v>138</v>
      </c>
      <c r="B50">
        <v>56.21942</v>
      </c>
      <c r="C50">
        <v>29.6398</v>
      </c>
      <c r="D50" t="s">
        <v>389</v>
      </c>
      <c r="E50" s="12">
        <v>7.77</v>
      </c>
      <c r="F50" s="12"/>
    </row>
    <row r="51" spans="1:6" ht="12.75">
      <c r="A51" s="4" t="s">
        <v>139</v>
      </c>
      <c r="B51">
        <v>56.21924</v>
      </c>
      <c r="C51">
        <v>29.64149</v>
      </c>
      <c r="D51" t="s">
        <v>389</v>
      </c>
      <c r="E51" s="12">
        <v>8.16</v>
      </c>
      <c r="F51" s="12"/>
    </row>
    <row r="52" spans="1:6" ht="12.75">
      <c r="A52" s="4" t="s">
        <v>140</v>
      </c>
      <c r="B52">
        <v>56.21914</v>
      </c>
      <c r="C52">
        <v>29.64119</v>
      </c>
      <c r="D52" t="s">
        <v>389</v>
      </c>
      <c r="E52" s="12">
        <v>7.92</v>
      </c>
      <c r="F52" s="12"/>
    </row>
    <row r="53" spans="1:6" ht="12.75">
      <c r="A53" s="4" t="s">
        <v>141</v>
      </c>
      <c r="B53">
        <v>56.21893</v>
      </c>
      <c r="C53">
        <v>29.64409</v>
      </c>
      <c r="D53" t="s">
        <v>389</v>
      </c>
      <c r="E53" s="12">
        <v>7.96</v>
      </c>
      <c r="F53" s="12"/>
    </row>
    <row r="54" spans="1:6" ht="12.75">
      <c r="A54" s="4" t="s">
        <v>142</v>
      </c>
      <c r="B54">
        <v>56.21872</v>
      </c>
      <c r="C54">
        <v>29.64754</v>
      </c>
      <c r="D54" t="s">
        <v>389</v>
      </c>
      <c r="E54" s="12">
        <v>8.17</v>
      </c>
      <c r="F54" s="12"/>
    </row>
    <row r="55" spans="1:6" ht="12.75">
      <c r="A55" s="4" t="s">
        <v>143</v>
      </c>
      <c r="B55">
        <v>56.21865</v>
      </c>
      <c r="C55">
        <v>29.65453</v>
      </c>
      <c r="D55" t="s">
        <v>389</v>
      </c>
      <c r="E55" s="12">
        <v>8.32</v>
      </c>
      <c r="F55" s="12"/>
    </row>
    <row r="56" spans="1:6" ht="12.75">
      <c r="A56" s="4" t="s">
        <v>144</v>
      </c>
      <c r="B56">
        <v>56.21875</v>
      </c>
      <c r="C56">
        <v>29.65518</v>
      </c>
      <c r="D56" t="s">
        <v>389</v>
      </c>
      <c r="E56" s="12">
        <v>8.07</v>
      </c>
      <c r="F56" s="12"/>
    </row>
    <row r="57" spans="1:6" ht="12.75">
      <c r="A57" s="4" t="s">
        <v>145</v>
      </c>
      <c r="B57">
        <v>56.21855</v>
      </c>
      <c r="C57">
        <v>29.65547</v>
      </c>
      <c r="D57" t="s">
        <v>389</v>
      </c>
      <c r="E57" s="12">
        <v>7.98</v>
      </c>
      <c r="F57" s="12"/>
    </row>
    <row r="58" spans="1:6" ht="12.75">
      <c r="A58" s="4" t="s">
        <v>146</v>
      </c>
      <c r="B58">
        <v>56.2174</v>
      </c>
      <c r="C58">
        <v>29.65748</v>
      </c>
      <c r="D58" t="s">
        <v>389</v>
      </c>
      <c r="E58" s="12">
        <v>7.62</v>
      </c>
      <c r="F58" s="12"/>
    </row>
    <row r="59" spans="1:6" ht="12.75">
      <c r="A59" s="4" t="s">
        <v>147</v>
      </c>
      <c r="B59">
        <v>56.21591</v>
      </c>
      <c r="C59">
        <v>29.65947</v>
      </c>
      <c r="D59" t="s">
        <v>389</v>
      </c>
      <c r="E59" s="12">
        <v>8.64</v>
      </c>
      <c r="F59" s="12"/>
    </row>
    <row r="60" spans="1:6" ht="12.75">
      <c r="A60" s="4" t="s">
        <v>148</v>
      </c>
      <c r="B60">
        <v>56.21608</v>
      </c>
      <c r="C60">
        <v>29.65998</v>
      </c>
      <c r="D60" t="s">
        <v>389</v>
      </c>
      <c r="E60" s="12">
        <v>7.96</v>
      </c>
      <c r="F60" s="12"/>
    </row>
    <row r="61" spans="1:6" ht="12.75">
      <c r="A61" s="4" t="s">
        <v>149</v>
      </c>
      <c r="B61">
        <v>56.21555</v>
      </c>
      <c r="C61">
        <v>29.66503</v>
      </c>
      <c r="D61" t="s">
        <v>389</v>
      </c>
      <c r="E61" s="12">
        <v>8.55</v>
      </c>
      <c r="F61" s="12"/>
    </row>
    <row r="62" spans="1:6" ht="12.75">
      <c r="A62" s="4" t="s">
        <v>150</v>
      </c>
      <c r="B62">
        <v>56.21398</v>
      </c>
      <c r="C62">
        <v>29.66725</v>
      </c>
      <c r="D62" t="s">
        <v>389</v>
      </c>
      <c r="E62" s="12">
        <v>8.96</v>
      </c>
      <c r="F62" s="12"/>
    </row>
    <row r="63" spans="1:6" ht="12.75">
      <c r="A63" s="4" t="s">
        <v>151</v>
      </c>
      <c r="B63">
        <v>56.21384</v>
      </c>
      <c r="C63">
        <v>29.6668</v>
      </c>
      <c r="D63" t="s">
        <v>389</v>
      </c>
      <c r="E63" s="12">
        <v>8.2</v>
      </c>
      <c r="F63" s="12"/>
    </row>
    <row r="64" spans="1:6" ht="12.75">
      <c r="A64" s="4" t="s">
        <v>152</v>
      </c>
      <c r="B64">
        <v>56.2137</v>
      </c>
      <c r="C64">
        <v>29.66704</v>
      </c>
      <c r="D64" t="s">
        <v>389</v>
      </c>
      <c r="E64" s="12">
        <v>7.85</v>
      </c>
      <c r="F64" s="12"/>
    </row>
    <row r="65" spans="1:6" ht="12.75">
      <c r="A65" s="4" t="s">
        <v>153</v>
      </c>
      <c r="B65">
        <v>56.20996</v>
      </c>
      <c r="C65">
        <v>29.66637</v>
      </c>
      <c r="D65" t="s">
        <v>389</v>
      </c>
      <c r="E65" s="12">
        <v>7.96</v>
      </c>
      <c r="F65" s="12"/>
    </row>
    <row r="66" spans="1:6" ht="12.75">
      <c r="A66" s="4" t="s">
        <v>154</v>
      </c>
      <c r="B66">
        <v>56.20901</v>
      </c>
      <c r="C66">
        <v>29.66655</v>
      </c>
      <c r="D66" t="s">
        <v>389</v>
      </c>
      <c r="E66" s="12">
        <v>8.64</v>
      </c>
      <c r="F66" s="12"/>
    </row>
    <row r="67" spans="1:6" ht="12.75">
      <c r="A67" s="4" t="s">
        <v>155</v>
      </c>
      <c r="B67">
        <v>56.20499</v>
      </c>
      <c r="C67">
        <v>29.66767</v>
      </c>
      <c r="D67" t="s">
        <v>389</v>
      </c>
      <c r="E67" s="12">
        <v>8.73</v>
      </c>
      <c r="F67" s="12"/>
    </row>
    <row r="68" spans="1:6" ht="12.75">
      <c r="A68" s="4" t="s">
        <v>156</v>
      </c>
      <c r="B68">
        <v>56.20467</v>
      </c>
      <c r="C68">
        <v>29.6675</v>
      </c>
      <c r="D68" t="s">
        <v>389</v>
      </c>
      <c r="E68" s="12">
        <v>7.85</v>
      </c>
      <c r="F68" s="12"/>
    </row>
    <row r="69" spans="1:6" ht="12.75">
      <c r="A69" s="4" t="s">
        <v>157</v>
      </c>
      <c r="B69">
        <v>56.20284</v>
      </c>
      <c r="C69">
        <v>29.66781</v>
      </c>
      <c r="D69" t="s">
        <v>389</v>
      </c>
      <c r="E69" s="12">
        <v>8.08</v>
      </c>
      <c r="F69" s="12"/>
    </row>
    <row r="70" spans="1:6" ht="12.75">
      <c r="A70" s="4" t="s">
        <v>158</v>
      </c>
      <c r="B70">
        <v>56.2019</v>
      </c>
      <c r="C70">
        <v>29.66825</v>
      </c>
      <c r="D70" t="s">
        <v>389</v>
      </c>
      <c r="E70" s="12">
        <v>7.81</v>
      </c>
      <c r="F70" s="12"/>
    </row>
    <row r="71" spans="1:6" ht="12.75">
      <c r="A71" s="4" t="s">
        <v>159</v>
      </c>
      <c r="B71">
        <v>56.20122</v>
      </c>
      <c r="C71">
        <v>29.66862</v>
      </c>
      <c r="D71" t="s">
        <v>389</v>
      </c>
      <c r="E71" s="12">
        <v>8.03</v>
      </c>
      <c r="F71" s="12"/>
    </row>
    <row r="72" spans="1:6" ht="12.75">
      <c r="A72" s="4" t="s">
        <v>160</v>
      </c>
      <c r="B72">
        <v>56.20025</v>
      </c>
      <c r="C72">
        <v>29.66963</v>
      </c>
      <c r="D72" t="s">
        <v>389</v>
      </c>
      <c r="E72" s="12">
        <v>7.71</v>
      </c>
      <c r="F72" s="12"/>
    </row>
    <row r="73" spans="1:6" ht="12.75">
      <c r="A73" s="4" t="s">
        <v>161</v>
      </c>
      <c r="B73">
        <v>56.19865</v>
      </c>
      <c r="C73">
        <v>29.67191</v>
      </c>
      <c r="D73" t="s">
        <v>389</v>
      </c>
      <c r="E73" s="12">
        <v>7.88</v>
      </c>
      <c r="F73" s="12"/>
    </row>
    <row r="74" spans="1:6" ht="12.75">
      <c r="A74" s="4" t="s">
        <v>162</v>
      </c>
      <c r="B74">
        <v>56.19846</v>
      </c>
      <c r="C74">
        <v>29.67233</v>
      </c>
      <c r="D74" t="s">
        <v>389</v>
      </c>
      <c r="E74" s="12">
        <v>8.04</v>
      </c>
      <c r="F74" s="12"/>
    </row>
    <row r="75" spans="1:5" ht="12.75">
      <c r="A75" s="4" t="s">
        <v>186</v>
      </c>
      <c r="B75">
        <v>56.19316</v>
      </c>
      <c r="C75">
        <v>29.6765</v>
      </c>
      <c r="D75" t="s">
        <v>389</v>
      </c>
      <c r="E75" s="12">
        <v>7.76</v>
      </c>
    </row>
    <row r="76" spans="1:5" ht="12.75">
      <c r="A76" s="4" t="s">
        <v>187</v>
      </c>
      <c r="B76">
        <v>56.19132</v>
      </c>
      <c r="C76">
        <v>29.67454</v>
      </c>
      <c r="D76" t="s">
        <v>389</v>
      </c>
      <c r="E76" s="12">
        <v>7.38</v>
      </c>
    </row>
    <row r="77" spans="1:6" ht="12.75">
      <c r="A77" s="4" t="s">
        <v>188</v>
      </c>
      <c r="B77">
        <v>56.19092</v>
      </c>
      <c r="C77">
        <v>29.67455</v>
      </c>
      <c r="D77" t="s">
        <v>389</v>
      </c>
      <c r="E77" s="12">
        <v>7.79</v>
      </c>
      <c r="F77" s="14"/>
    </row>
    <row r="78" spans="1:5" ht="12.75">
      <c r="A78" s="4" t="s">
        <v>189</v>
      </c>
      <c r="B78">
        <v>56.1876</v>
      </c>
      <c r="C78">
        <v>29.67672</v>
      </c>
      <c r="D78" t="s">
        <v>389</v>
      </c>
      <c r="E78" s="12">
        <v>7.62</v>
      </c>
    </row>
    <row r="79" spans="1:6" ht="12.75">
      <c r="A79" s="4" t="s">
        <v>190</v>
      </c>
      <c r="B79">
        <v>56.18734</v>
      </c>
      <c r="C79">
        <v>29.68008</v>
      </c>
      <c r="D79" t="s">
        <v>389</v>
      </c>
      <c r="E79" s="12">
        <v>7.81</v>
      </c>
      <c r="F79" s="14"/>
    </row>
    <row r="80" spans="1:6" ht="12.75">
      <c r="A80" s="4" t="s">
        <v>191</v>
      </c>
      <c r="B80">
        <v>56.18203</v>
      </c>
      <c r="C80">
        <v>29.6927</v>
      </c>
      <c r="D80" t="s">
        <v>389</v>
      </c>
      <c r="E80" s="12">
        <v>7.06</v>
      </c>
      <c r="F80" s="12"/>
    </row>
    <row r="81" spans="1:6" ht="12.75">
      <c r="A81" s="4" t="s">
        <v>192</v>
      </c>
      <c r="B81">
        <v>56.18196</v>
      </c>
      <c r="C81">
        <v>29.69281</v>
      </c>
      <c r="D81" t="s">
        <v>389</v>
      </c>
      <c r="E81" s="12">
        <v>8.32</v>
      </c>
      <c r="F81" s="12"/>
    </row>
    <row r="82" spans="1:6" ht="12.75">
      <c r="A82" s="4" t="s">
        <v>193</v>
      </c>
      <c r="B82">
        <v>56.18184</v>
      </c>
      <c r="C82">
        <v>29.69286</v>
      </c>
      <c r="D82" t="s">
        <v>389</v>
      </c>
      <c r="E82" s="12">
        <v>8</v>
      </c>
      <c r="F82" s="12"/>
    </row>
    <row r="83" spans="1:6" ht="12.75">
      <c r="A83" s="4" t="s">
        <v>194</v>
      </c>
      <c r="B83">
        <v>56.18117</v>
      </c>
      <c r="C83">
        <v>29.69334</v>
      </c>
      <c r="D83" t="s">
        <v>389</v>
      </c>
      <c r="E83" s="12">
        <v>8.05</v>
      </c>
      <c r="F83" s="12"/>
    </row>
    <row r="84" spans="1:6" ht="12.75">
      <c r="A84" s="4" t="s">
        <v>195</v>
      </c>
      <c r="B84">
        <v>56.18123</v>
      </c>
      <c r="C84">
        <v>29.6935</v>
      </c>
      <c r="D84" t="s">
        <v>389</v>
      </c>
      <c r="E84" s="12">
        <v>6.61</v>
      </c>
      <c r="F84" s="12"/>
    </row>
    <row r="85" spans="1:6" ht="12.75">
      <c r="A85" s="4" t="s">
        <v>196</v>
      </c>
      <c r="B85">
        <v>56.18081</v>
      </c>
      <c r="C85">
        <v>29.69429</v>
      </c>
      <c r="D85" t="s">
        <v>389</v>
      </c>
      <c r="E85" s="12">
        <v>8.27</v>
      </c>
      <c r="F85" s="12"/>
    </row>
    <row r="86" spans="1:6" ht="12.75">
      <c r="A86" s="4" t="s">
        <v>197</v>
      </c>
      <c r="B86">
        <v>56.18074</v>
      </c>
      <c r="C86">
        <v>29.69446</v>
      </c>
      <c r="D86" t="s">
        <v>389</v>
      </c>
      <c r="E86" s="12">
        <v>7.49</v>
      </c>
      <c r="F86" s="12"/>
    </row>
    <row r="87" spans="1:6" ht="12.75">
      <c r="A87" s="4" t="s">
        <v>198</v>
      </c>
      <c r="B87">
        <v>56.18003</v>
      </c>
      <c r="C87">
        <v>29.69506</v>
      </c>
      <c r="D87" t="s">
        <v>389</v>
      </c>
      <c r="E87" s="12">
        <v>7.49</v>
      </c>
      <c r="F87" s="12"/>
    </row>
    <row r="88" spans="1:6" ht="12.75">
      <c r="A88" s="4" t="s">
        <v>199</v>
      </c>
      <c r="B88">
        <v>56.17897</v>
      </c>
      <c r="C88">
        <v>29.69462</v>
      </c>
      <c r="D88" t="s">
        <v>389</v>
      </c>
      <c r="E88" s="12">
        <v>6.49</v>
      </c>
      <c r="F88" s="12"/>
    </row>
    <row r="89" spans="1:6" ht="12.75">
      <c r="A89" s="4" t="s">
        <v>200</v>
      </c>
      <c r="B89">
        <v>56.17897</v>
      </c>
      <c r="C89">
        <v>29.69457</v>
      </c>
      <c r="D89" t="s">
        <v>389</v>
      </c>
      <c r="E89" s="12">
        <v>7.62</v>
      </c>
      <c r="F89" s="12"/>
    </row>
    <row r="90" spans="1:6" ht="12.75">
      <c r="A90" s="4" t="s">
        <v>201</v>
      </c>
      <c r="B90">
        <v>56.17876</v>
      </c>
      <c r="C90">
        <v>29.69456</v>
      </c>
      <c r="D90" t="s">
        <v>389</v>
      </c>
      <c r="E90" s="12">
        <v>7.61</v>
      </c>
      <c r="F90" s="12"/>
    </row>
    <row r="91" spans="1:6" ht="12.75">
      <c r="A91" s="4" t="s">
        <v>202</v>
      </c>
      <c r="B91">
        <v>56.17874</v>
      </c>
      <c r="C91">
        <v>29.69454</v>
      </c>
      <c r="D91" t="s">
        <v>389</v>
      </c>
      <c r="E91" s="12">
        <v>6.22</v>
      </c>
      <c r="F91" s="12"/>
    </row>
    <row r="92" spans="1:6" ht="12.75">
      <c r="A92" s="4" t="s">
        <v>203</v>
      </c>
      <c r="B92">
        <v>56.17814</v>
      </c>
      <c r="C92">
        <v>29.69551</v>
      </c>
      <c r="D92" t="s">
        <v>389</v>
      </c>
      <c r="E92" s="12">
        <v>8.26</v>
      </c>
      <c r="F92" s="12"/>
    </row>
    <row r="93" spans="1:6" ht="12.75">
      <c r="A93" s="4" t="s">
        <v>204</v>
      </c>
      <c r="B93">
        <v>56.17792</v>
      </c>
      <c r="C93">
        <v>29.69591</v>
      </c>
      <c r="D93" t="s">
        <v>389</v>
      </c>
      <c r="E93" s="12">
        <v>8.62</v>
      </c>
      <c r="F93" s="12"/>
    </row>
    <row r="94" spans="1:6" ht="12.75">
      <c r="A94" s="4" t="s">
        <v>205</v>
      </c>
      <c r="B94">
        <v>56.17779</v>
      </c>
      <c r="C94">
        <v>29.69601</v>
      </c>
      <c r="D94" t="s">
        <v>389</v>
      </c>
      <c r="E94" s="12">
        <v>8.23</v>
      </c>
      <c r="F94" s="12"/>
    </row>
    <row r="95" spans="1:6" ht="12.75">
      <c r="A95" s="4" t="s">
        <v>206</v>
      </c>
      <c r="B95">
        <v>56.17747</v>
      </c>
      <c r="C95">
        <v>29.69584</v>
      </c>
      <c r="D95" t="s">
        <v>389</v>
      </c>
      <c r="E95" s="12">
        <v>7.82</v>
      </c>
      <c r="F95" s="12"/>
    </row>
    <row r="96" spans="1:6" ht="12.75">
      <c r="A96" s="4" t="s">
        <v>207</v>
      </c>
      <c r="B96">
        <v>56.17654</v>
      </c>
      <c r="C96">
        <v>29.69501</v>
      </c>
      <c r="D96" t="s">
        <v>389</v>
      </c>
      <c r="E96" s="12">
        <v>7.777</v>
      </c>
      <c r="F96" s="12"/>
    </row>
    <row r="97" spans="1:6" ht="12.75">
      <c r="A97" s="4" t="s">
        <v>208</v>
      </c>
      <c r="B97">
        <v>56.17623</v>
      </c>
      <c r="C97">
        <v>29.69446</v>
      </c>
      <c r="D97" t="s">
        <v>389</v>
      </c>
      <c r="E97" s="12">
        <v>7.22</v>
      </c>
      <c r="F97" s="12"/>
    </row>
    <row r="98" spans="1:6" ht="12.75">
      <c r="A98" s="4" t="s">
        <v>209</v>
      </c>
      <c r="B98">
        <v>56.17551</v>
      </c>
      <c r="C98">
        <v>29.69377</v>
      </c>
      <c r="D98" t="s">
        <v>389</v>
      </c>
      <c r="E98" s="12">
        <v>8.67</v>
      </c>
      <c r="F98" s="12"/>
    </row>
    <row r="99" spans="1:6" ht="12.75">
      <c r="A99" s="4" t="s">
        <v>210</v>
      </c>
      <c r="B99">
        <v>56.17545</v>
      </c>
      <c r="C99">
        <v>29.69385</v>
      </c>
      <c r="D99" t="s">
        <v>389</v>
      </c>
      <c r="E99" s="12">
        <v>7.43</v>
      </c>
      <c r="F99" s="12"/>
    </row>
    <row r="100" spans="1:6" ht="12.75">
      <c r="A100" s="4" t="s">
        <v>211</v>
      </c>
      <c r="B100">
        <v>56.17057</v>
      </c>
      <c r="C100">
        <v>29.69405</v>
      </c>
      <c r="D100" t="s">
        <v>389</v>
      </c>
      <c r="E100" s="12">
        <v>6.85</v>
      </c>
      <c r="F100" s="12"/>
    </row>
    <row r="101" spans="1:6" ht="12.75">
      <c r="A101" s="4" t="s">
        <v>212</v>
      </c>
      <c r="B101">
        <v>56.17093</v>
      </c>
      <c r="C101">
        <v>29.69258</v>
      </c>
      <c r="D101" t="s">
        <v>389</v>
      </c>
      <c r="E101" s="12">
        <v>6.35</v>
      </c>
      <c r="F101" s="12"/>
    </row>
    <row r="102" spans="1:6" ht="12.75">
      <c r="A102" s="4" t="s">
        <v>213</v>
      </c>
      <c r="B102">
        <v>56.1709</v>
      </c>
      <c r="C102">
        <v>29.69235</v>
      </c>
      <c r="D102" t="s">
        <v>389</v>
      </c>
      <c r="E102" s="12">
        <v>7.1</v>
      </c>
      <c r="F102" s="12"/>
    </row>
    <row r="103" spans="1:6" ht="12.75">
      <c r="A103" s="4" t="s">
        <v>214</v>
      </c>
      <c r="B103">
        <v>56.16992</v>
      </c>
      <c r="C103">
        <v>29.68948</v>
      </c>
      <c r="D103" t="s">
        <v>389</v>
      </c>
      <c r="E103" s="12">
        <v>6.49</v>
      </c>
      <c r="F103" s="12"/>
    </row>
    <row r="104" spans="1:6" ht="12.75">
      <c r="A104" s="4" t="s">
        <v>215</v>
      </c>
      <c r="B104">
        <v>56.17055</v>
      </c>
      <c r="C104">
        <v>29.68561</v>
      </c>
      <c r="D104" t="s">
        <v>389</v>
      </c>
      <c r="E104" s="12">
        <v>7.2</v>
      </c>
      <c r="F104" s="12"/>
    </row>
    <row r="105" spans="1:6" ht="12.75">
      <c r="A105" s="4" t="s">
        <v>216</v>
      </c>
      <c r="B105">
        <v>56.17326</v>
      </c>
      <c r="C105">
        <v>29.68251</v>
      </c>
      <c r="D105" t="s">
        <v>389</v>
      </c>
      <c r="E105" s="12">
        <v>6.95</v>
      </c>
      <c r="F105" s="12"/>
    </row>
    <row r="106" spans="1:6" ht="12.75">
      <c r="A106" s="4" t="s">
        <v>217</v>
      </c>
      <c r="B106">
        <v>56.17355</v>
      </c>
      <c r="C106">
        <v>29.68226</v>
      </c>
      <c r="D106" t="s">
        <v>389</v>
      </c>
      <c r="E106" s="12">
        <v>7.1</v>
      </c>
      <c r="F106" s="12"/>
    </row>
    <row r="107" spans="1:6" ht="12.75">
      <c r="A107" s="4" t="s">
        <v>218</v>
      </c>
      <c r="B107">
        <v>56.17377</v>
      </c>
      <c r="C107">
        <v>29.68235</v>
      </c>
      <c r="D107" t="s">
        <v>389</v>
      </c>
      <c r="E107" s="12">
        <v>6.74</v>
      </c>
      <c r="F107" s="12"/>
    </row>
    <row r="108" spans="1:6" ht="12.75">
      <c r="A108" s="4" t="s">
        <v>219</v>
      </c>
      <c r="B108">
        <v>56.17437</v>
      </c>
      <c r="C108">
        <v>29.68032</v>
      </c>
      <c r="D108" t="s">
        <v>389</v>
      </c>
      <c r="E108" s="12">
        <v>6.53</v>
      </c>
      <c r="F108" s="12"/>
    </row>
    <row r="109" spans="1:6" ht="12.75">
      <c r="A109" s="4" t="s">
        <v>220</v>
      </c>
      <c r="B109">
        <v>56.17435</v>
      </c>
      <c r="C109">
        <v>29.67965</v>
      </c>
      <c r="D109" t="s">
        <v>389</v>
      </c>
      <c r="E109" s="12">
        <v>6.66</v>
      </c>
      <c r="F109" s="12"/>
    </row>
    <row r="110" spans="1:6" ht="12.75">
      <c r="A110" s="4" t="s">
        <v>221</v>
      </c>
      <c r="B110">
        <v>56.17338</v>
      </c>
      <c r="C110">
        <v>29.67558</v>
      </c>
      <c r="D110" t="s">
        <v>389</v>
      </c>
      <c r="E110" s="12">
        <v>7.1</v>
      </c>
      <c r="F110" s="12"/>
    </row>
    <row r="111" spans="1:6" ht="12.75">
      <c r="A111" s="4" t="s">
        <v>222</v>
      </c>
      <c r="B111">
        <v>56.17485</v>
      </c>
      <c r="C111">
        <v>29.67382</v>
      </c>
      <c r="D111" t="s">
        <v>389</v>
      </c>
      <c r="E111" s="12">
        <v>7.13</v>
      </c>
      <c r="F111" s="12"/>
    </row>
    <row r="112" spans="1:6" ht="12.75">
      <c r="A112" s="4" t="s">
        <v>223</v>
      </c>
      <c r="B112">
        <v>56.17914</v>
      </c>
      <c r="C112">
        <v>29.67245</v>
      </c>
      <c r="D112" t="s">
        <v>389</v>
      </c>
      <c r="E112" s="12">
        <v>7.76</v>
      </c>
      <c r="F112" s="12"/>
    </row>
    <row r="113" spans="1:6" ht="12.75">
      <c r="A113" s="4" t="s">
        <v>224</v>
      </c>
      <c r="B113">
        <v>56.18111</v>
      </c>
      <c r="C113">
        <v>29.67113</v>
      </c>
      <c r="D113" t="s">
        <v>389</v>
      </c>
      <c r="E113" s="12">
        <v>7.5</v>
      </c>
      <c r="F113" s="12"/>
    </row>
    <row r="114" spans="1:6" ht="12.75">
      <c r="A114" s="4" t="s">
        <v>225</v>
      </c>
      <c r="B114">
        <v>56.18327</v>
      </c>
      <c r="C114">
        <v>29.67002</v>
      </c>
      <c r="D114" t="s">
        <v>389</v>
      </c>
      <c r="E114" s="12">
        <v>7.7</v>
      </c>
      <c r="F114" s="12"/>
    </row>
    <row r="115" spans="1:6" ht="12.75">
      <c r="A115" s="4" t="s">
        <v>226</v>
      </c>
      <c r="B115">
        <v>56.1881</v>
      </c>
      <c r="C115">
        <v>29.67415</v>
      </c>
      <c r="D115" t="s">
        <v>389</v>
      </c>
      <c r="E115" s="12">
        <v>7.23</v>
      </c>
      <c r="F115" s="12"/>
    </row>
    <row r="116" spans="1:6" ht="12.75">
      <c r="A116" s="4" t="s">
        <v>283</v>
      </c>
      <c r="B116">
        <v>56.19473</v>
      </c>
      <c r="C116">
        <v>29.66936</v>
      </c>
      <c r="D116" t="s">
        <v>389</v>
      </c>
      <c r="E116" s="12">
        <v>8.69</v>
      </c>
      <c r="F116" s="12"/>
    </row>
    <row r="117" spans="1:6" ht="12.75">
      <c r="A117" s="4" t="s">
        <v>284</v>
      </c>
      <c r="B117">
        <v>56.19383</v>
      </c>
      <c r="C117">
        <v>29.66761</v>
      </c>
      <c r="D117" t="s">
        <v>389</v>
      </c>
      <c r="E117" s="12">
        <v>8.17</v>
      </c>
      <c r="F117" s="12"/>
    </row>
    <row r="118" spans="1:6" ht="12.75">
      <c r="A118" s="4" t="s">
        <v>285</v>
      </c>
      <c r="B118">
        <v>56.19265</v>
      </c>
      <c r="C118">
        <v>29.66124</v>
      </c>
      <c r="D118" t="s">
        <v>389</v>
      </c>
      <c r="E118" s="12">
        <v>7.96</v>
      </c>
      <c r="F118" s="12"/>
    </row>
    <row r="119" spans="1:6" ht="12.75">
      <c r="A119" s="4" t="s">
        <v>286</v>
      </c>
      <c r="B119">
        <v>56.19258</v>
      </c>
      <c r="C119">
        <v>29.66102</v>
      </c>
      <c r="D119" t="s">
        <v>389</v>
      </c>
      <c r="E119" s="12">
        <v>8.23</v>
      </c>
      <c r="F119" s="12"/>
    </row>
    <row r="120" spans="1:6" ht="12.75">
      <c r="A120" s="4" t="s">
        <v>287</v>
      </c>
      <c r="B120">
        <v>56.18771</v>
      </c>
      <c r="C120">
        <v>29.6616</v>
      </c>
      <c r="D120" t="s">
        <v>389</v>
      </c>
      <c r="E120" s="12">
        <v>7.7</v>
      </c>
      <c r="F120" s="12"/>
    </row>
    <row r="121" spans="1:6" ht="12.75">
      <c r="A121" s="4" t="s">
        <v>288</v>
      </c>
      <c r="B121">
        <v>56.18751</v>
      </c>
      <c r="C121">
        <v>29.66169</v>
      </c>
      <c r="D121" t="s">
        <v>389</v>
      </c>
      <c r="E121" s="12">
        <v>7.98</v>
      </c>
      <c r="F121" s="12"/>
    </row>
    <row r="122" spans="1:6" ht="12.75">
      <c r="A122" s="4" t="s">
        <v>289</v>
      </c>
      <c r="B122">
        <v>56.1713</v>
      </c>
      <c r="C122">
        <v>29.65624</v>
      </c>
      <c r="D122" t="s">
        <v>389</v>
      </c>
      <c r="E122" s="12">
        <v>7.9</v>
      </c>
      <c r="F122" s="12"/>
    </row>
    <row r="123" spans="1:6" ht="12.75">
      <c r="A123" s="4" t="s">
        <v>290</v>
      </c>
      <c r="B123">
        <v>56.17109</v>
      </c>
      <c r="C123">
        <v>29.65534</v>
      </c>
      <c r="D123" t="s">
        <v>389</v>
      </c>
      <c r="E123" s="12">
        <v>8.1</v>
      </c>
      <c r="F123" s="12"/>
    </row>
    <row r="124" spans="1:6" ht="12.75">
      <c r="A124" s="4" t="s">
        <v>291</v>
      </c>
      <c r="B124">
        <v>56.17084</v>
      </c>
      <c r="C124">
        <v>29.65452</v>
      </c>
      <c r="D124" t="s">
        <v>389</v>
      </c>
      <c r="E124" s="12">
        <v>8.24</v>
      </c>
      <c r="F124" s="12"/>
    </row>
    <row r="125" spans="1:6" ht="12.75">
      <c r="A125" s="4" t="s">
        <v>292</v>
      </c>
      <c r="B125">
        <v>56.16519</v>
      </c>
      <c r="C125">
        <v>29.65157</v>
      </c>
      <c r="D125" t="s">
        <v>389</v>
      </c>
      <c r="E125" s="12">
        <v>8.06</v>
      </c>
      <c r="F125" s="12"/>
    </row>
    <row r="126" spans="1:6" ht="12.75">
      <c r="A126" s="4" t="s">
        <v>293</v>
      </c>
      <c r="B126">
        <v>56.16502</v>
      </c>
      <c r="C126">
        <v>29.6514</v>
      </c>
      <c r="D126" t="s">
        <v>389</v>
      </c>
      <c r="E126" s="12">
        <v>8.05</v>
      </c>
      <c r="F126" s="12"/>
    </row>
    <row r="127" spans="1:6" ht="12.75">
      <c r="A127" s="4" t="s">
        <v>294</v>
      </c>
      <c r="B127">
        <v>56.16557</v>
      </c>
      <c r="C127">
        <v>29.65478</v>
      </c>
      <c r="D127" t="s">
        <v>389</v>
      </c>
      <c r="E127" s="12">
        <v>7.98</v>
      </c>
      <c r="F127" s="12"/>
    </row>
    <row r="128" spans="1:6" ht="12.75">
      <c r="A128" s="4" t="s">
        <v>295</v>
      </c>
      <c r="B128">
        <v>56.16376</v>
      </c>
      <c r="C128">
        <v>29.65167</v>
      </c>
      <c r="D128" t="s">
        <v>389</v>
      </c>
      <c r="E128" s="12">
        <v>7.5</v>
      </c>
      <c r="F128" s="12"/>
    </row>
    <row r="129" spans="1:6" ht="12.75">
      <c r="A129" s="4" t="s">
        <v>296</v>
      </c>
      <c r="B129">
        <v>56.15707</v>
      </c>
      <c r="C129">
        <v>29.65316</v>
      </c>
      <c r="D129" t="s">
        <v>389</v>
      </c>
      <c r="E129" s="12">
        <v>7.96</v>
      </c>
      <c r="F129" s="12"/>
    </row>
    <row r="130" spans="1:6" ht="12.75">
      <c r="A130" s="4" t="s">
        <v>297</v>
      </c>
      <c r="B130">
        <v>56.15705</v>
      </c>
      <c r="C130">
        <v>29.65323</v>
      </c>
      <c r="D130" t="s">
        <v>389</v>
      </c>
      <c r="E130" s="12">
        <v>6.7</v>
      </c>
      <c r="F130" s="12"/>
    </row>
    <row r="131" spans="1:6" ht="12.75">
      <c r="A131" s="4" t="s">
        <v>298</v>
      </c>
      <c r="B131">
        <v>56.15683</v>
      </c>
      <c r="C131">
        <v>29.65353</v>
      </c>
      <c r="D131" t="s">
        <v>389</v>
      </c>
      <c r="E131" s="12">
        <v>6.93</v>
      </c>
      <c r="F131" s="12"/>
    </row>
    <row r="132" spans="1:6" ht="12.75">
      <c r="A132" s="4" t="s">
        <v>299</v>
      </c>
      <c r="B132">
        <v>56.15604</v>
      </c>
      <c r="C132">
        <v>29.65455</v>
      </c>
      <c r="D132" t="s">
        <v>389</v>
      </c>
      <c r="E132" s="12">
        <v>7.3</v>
      </c>
      <c r="F132" s="12"/>
    </row>
    <row r="133" spans="1:6" ht="12.75">
      <c r="A133" s="4" t="s">
        <v>300</v>
      </c>
      <c r="B133">
        <v>56.15488</v>
      </c>
      <c r="C133">
        <v>29.65593</v>
      </c>
      <c r="D133" t="s">
        <v>389</v>
      </c>
      <c r="E133" s="12">
        <v>7.99</v>
      </c>
      <c r="F133" s="12"/>
    </row>
    <row r="134" spans="1:6" ht="12.75">
      <c r="A134" s="4" t="s">
        <v>301</v>
      </c>
      <c r="B134">
        <v>56.15189</v>
      </c>
      <c r="C134">
        <v>29.65889</v>
      </c>
      <c r="D134" t="s">
        <v>389</v>
      </c>
      <c r="E134" s="12">
        <v>7.9</v>
      </c>
      <c r="F134" s="12"/>
    </row>
    <row r="135" spans="1:6" ht="12.75">
      <c r="A135" s="4" t="s">
        <v>302</v>
      </c>
      <c r="B135">
        <v>56.15328</v>
      </c>
      <c r="C135">
        <v>29.65665</v>
      </c>
      <c r="D135" t="s">
        <v>389</v>
      </c>
      <c r="E135" s="12">
        <v>7.5</v>
      </c>
      <c r="F135" s="12"/>
    </row>
    <row r="136" spans="1:6" ht="12.75">
      <c r="A136" s="4" t="s">
        <v>303</v>
      </c>
      <c r="B136">
        <v>56.15802</v>
      </c>
      <c r="C136">
        <v>29.65656</v>
      </c>
      <c r="D136" t="s">
        <v>389</v>
      </c>
      <c r="E136" s="12">
        <v>8.01</v>
      </c>
      <c r="F136" s="12"/>
    </row>
    <row r="137" spans="1:6" ht="12.75">
      <c r="A137" s="4" t="s">
        <v>305</v>
      </c>
      <c r="B137">
        <v>56.16339</v>
      </c>
      <c r="C137">
        <v>29.65613</v>
      </c>
      <c r="D137" t="s">
        <v>389</v>
      </c>
      <c r="E137" s="12">
        <v>8.4</v>
      </c>
      <c r="F137" s="12"/>
    </row>
    <row r="138" spans="1:6" ht="12.75">
      <c r="A138" s="4" t="s">
        <v>306</v>
      </c>
      <c r="B138">
        <v>56.16524</v>
      </c>
      <c r="C138">
        <v>29.65118</v>
      </c>
      <c r="D138" t="s">
        <v>389</v>
      </c>
      <c r="E138" s="12">
        <v>7.44</v>
      </c>
      <c r="F138" s="12"/>
    </row>
    <row r="139" spans="1:6" ht="12.75">
      <c r="A139" s="4" t="s">
        <v>307</v>
      </c>
      <c r="B139">
        <v>56.16747</v>
      </c>
      <c r="C139">
        <v>29.65261</v>
      </c>
      <c r="D139" t="s">
        <v>389</v>
      </c>
      <c r="E139" s="12">
        <v>8.04</v>
      </c>
      <c r="F139" s="12"/>
    </row>
    <row r="140" spans="1:6" ht="12.75">
      <c r="A140" s="4" t="s">
        <v>347</v>
      </c>
      <c r="B140">
        <v>56.20208</v>
      </c>
      <c r="C140">
        <v>29.6602</v>
      </c>
      <c r="D140" t="s">
        <v>389</v>
      </c>
      <c r="E140" s="12">
        <v>8.02</v>
      </c>
      <c r="F140" s="12"/>
    </row>
    <row r="141" spans="1:6" ht="12.75">
      <c r="A141" s="4" t="s">
        <v>348</v>
      </c>
      <c r="B141">
        <v>56.20196</v>
      </c>
      <c r="C141">
        <v>29.66011</v>
      </c>
      <c r="D141" t="s">
        <v>389</v>
      </c>
      <c r="E141" s="12">
        <v>7.56</v>
      </c>
      <c r="F141" s="12"/>
    </row>
    <row r="142" spans="1:6" ht="12.75">
      <c r="A142" s="4" t="s">
        <v>349</v>
      </c>
      <c r="B142">
        <v>56.20178</v>
      </c>
      <c r="C142">
        <v>29.65993</v>
      </c>
      <c r="D142" t="s">
        <v>389</v>
      </c>
      <c r="E142" s="12">
        <v>7.76</v>
      </c>
      <c r="F142" s="12"/>
    </row>
    <row r="143" spans="1:6" ht="12.75">
      <c r="A143" s="4" t="s">
        <v>350</v>
      </c>
      <c r="B143">
        <v>56.20154</v>
      </c>
      <c r="C143">
        <v>29.65974</v>
      </c>
      <c r="D143" t="s">
        <v>389</v>
      </c>
      <c r="E143" s="12">
        <v>7.78</v>
      </c>
      <c r="F143" s="12"/>
    </row>
    <row r="144" spans="1:6" ht="12.75">
      <c r="A144" s="4" t="s">
        <v>351</v>
      </c>
      <c r="B144">
        <v>56.20143</v>
      </c>
      <c r="C144">
        <v>29.65965</v>
      </c>
      <c r="D144" t="s">
        <v>389</v>
      </c>
      <c r="E144" s="12">
        <v>7.81</v>
      </c>
      <c r="F144" s="12"/>
    </row>
    <row r="145" spans="1:6" ht="12.75">
      <c r="A145" s="4" t="s">
        <v>352</v>
      </c>
      <c r="B145">
        <v>56.20142</v>
      </c>
      <c r="C145">
        <v>29.65995</v>
      </c>
      <c r="D145" t="s">
        <v>389</v>
      </c>
      <c r="E145" s="12">
        <v>7.89</v>
      </c>
      <c r="F145" s="12"/>
    </row>
    <row r="146" spans="1:6" ht="12.75">
      <c r="A146" s="4" t="s">
        <v>353</v>
      </c>
      <c r="B146">
        <v>56.20148</v>
      </c>
      <c r="C146">
        <v>29.65999</v>
      </c>
      <c r="D146" t="s">
        <v>389</v>
      </c>
      <c r="E146" s="12">
        <v>7.6</v>
      </c>
      <c r="F146" s="12"/>
    </row>
    <row r="147" spans="1:6" ht="12.75">
      <c r="A147" s="4" t="s">
        <v>354</v>
      </c>
      <c r="B147">
        <v>56.20153</v>
      </c>
      <c r="C147">
        <v>29.66038</v>
      </c>
      <c r="D147" t="s">
        <v>389</v>
      </c>
      <c r="E147" s="12">
        <v>6.66</v>
      </c>
      <c r="F147" s="12"/>
    </row>
    <row r="148" spans="1:6" ht="12.75">
      <c r="A148" s="4" t="s">
        <v>355</v>
      </c>
      <c r="B148">
        <v>56.20146</v>
      </c>
      <c r="C148">
        <v>29.65956</v>
      </c>
      <c r="D148" t="s">
        <v>389</v>
      </c>
      <c r="E148" s="12">
        <v>7.68</v>
      </c>
      <c r="F148" s="12"/>
    </row>
    <row r="149" spans="1:6" ht="12.75">
      <c r="A149" s="4" t="s">
        <v>356</v>
      </c>
      <c r="B149">
        <v>56.20136</v>
      </c>
      <c r="C149">
        <v>29.65955</v>
      </c>
      <c r="D149" t="s">
        <v>389</v>
      </c>
      <c r="E149" s="12">
        <v>7.65</v>
      </c>
      <c r="F149" s="12"/>
    </row>
    <row r="150" spans="1:6" ht="12.75">
      <c r="A150" s="4" t="s">
        <v>357</v>
      </c>
      <c r="B150">
        <v>56.20095</v>
      </c>
      <c r="C150">
        <v>29.65925</v>
      </c>
      <c r="D150" t="s">
        <v>389</v>
      </c>
      <c r="E150" s="12">
        <v>7.75</v>
      </c>
      <c r="F150" s="12"/>
    </row>
    <row r="151" spans="1:6" ht="12.75">
      <c r="A151" s="4" t="s">
        <v>358</v>
      </c>
      <c r="B151">
        <v>56.20093</v>
      </c>
      <c r="C151">
        <v>29.6593</v>
      </c>
      <c r="D151" t="s">
        <v>389</v>
      </c>
      <c r="E151" s="12">
        <v>7.69</v>
      </c>
      <c r="F151" s="12"/>
    </row>
    <row r="152" spans="1:6" ht="12.75">
      <c r="A152" s="4" t="s">
        <v>359</v>
      </c>
      <c r="B152">
        <v>56.20058</v>
      </c>
      <c r="C152">
        <v>29.65872</v>
      </c>
      <c r="D152" t="s">
        <v>389</v>
      </c>
      <c r="E152" s="12">
        <v>7.72</v>
      </c>
      <c r="F152" s="12"/>
    </row>
    <row r="153" spans="1:6" ht="12.75">
      <c r="A153" s="4" t="s">
        <v>360</v>
      </c>
      <c r="B153">
        <v>56.20021</v>
      </c>
      <c r="C153">
        <v>29.65848</v>
      </c>
      <c r="D153" t="s">
        <v>389</v>
      </c>
      <c r="E153" s="12">
        <v>7.68</v>
      </c>
      <c r="F153" s="12"/>
    </row>
    <row r="154" spans="1:6" ht="12.75">
      <c r="A154" s="4" t="s">
        <v>361</v>
      </c>
      <c r="B154">
        <v>56.20018</v>
      </c>
      <c r="C154">
        <v>29.65815</v>
      </c>
      <c r="D154" t="s">
        <v>389</v>
      </c>
      <c r="E154" s="12">
        <v>7.79</v>
      </c>
      <c r="F154" s="12"/>
    </row>
    <row r="155" spans="1:6" ht="12.75">
      <c r="A155" s="4" t="s">
        <v>363</v>
      </c>
      <c r="B155">
        <v>56.20002</v>
      </c>
      <c r="C155">
        <v>29.65823</v>
      </c>
      <c r="D155" t="s">
        <v>389</v>
      </c>
      <c r="E155" s="12">
        <v>7.68</v>
      </c>
      <c r="F155" s="12"/>
    </row>
    <row r="156" spans="1:6" ht="12.75">
      <c r="A156" s="4" t="s">
        <v>364</v>
      </c>
      <c r="B156">
        <v>56.2</v>
      </c>
      <c r="C156">
        <v>29.65814</v>
      </c>
      <c r="D156" t="s">
        <v>389</v>
      </c>
      <c r="E156" s="12">
        <v>7.67</v>
      </c>
      <c r="F156" s="12"/>
    </row>
    <row r="157" spans="1:6" ht="12.75">
      <c r="A157" s="4" t="s">
        <v>365</v>
      </c>
      <c r="B157">
        <v>56.20014</v>
      </c>
      <c r="C157">
        <v>29.65808</v>
      </c>
      <c r="D157" t="s">
        <v>389</v>
      </c>
      <c r="E157" s="12">
        <v>7.6</v>
      </c>
      <c r="F157" s="12"/>
    </row>
    <row r="158" spans="1:6" ht="12.75">
      <c r="A158" s="4" t="s">
        <v>366</v>
      </c>
      <c r="B158">
        <v>56.2003</v>
      </c>
      <c r="C158">
        <v>29.65783</v>
      </c>
      <c r="D158" t="s">
        <v>389</v>
      </c>
      <c r="E158" s="12">
        <v>7.6</v>
      </c>
      <c r="F158" s="12"/>
    </row>
    <row r="159" spans="1:6" ht="12.75">
      <c r="A159" s="4" t="s">
        <v>367</v>
      </c>
      <c r="B159">
        <v>56.19978</v>
      </c>
      <c r="C159">
        <v>29.65768</v>
      </c>
      <c r="D159" t="s">
        <v>389</v>
      </c>
      <c r="E159" s="12">
        <v>7.46</v>
      </c>
      <c r="F159" s="12"/>
    </row>
    <row r="160" spans="1:6" ht="12.75">
      <c r="A160" s="4" t="s">
        <v>368</v>
      </c>
      <c r="B160">
        <v>56.19926</v>
      </c>
      <c r="C160">
        <v>29.65797</v>
      </c>
      <c r="D160" t="s">
        <v>389</v>
      </c>
      <c r="E160" s="12">
        <v>7.58</v>
      </c>
      <c r="F160" s="12"/>
    </row>
    <row r="161" spans="1:6" ht="12.75">
      <c r="A161" s="4" t="s">
        <v>369</v>
      </c>
      <c r="B161">
        <v>56.199</v>
      </c>
      <c r="C161">
        <v>29.6579</v>
      </c>
      <c r="D161" t="s">
        <v>389</v>
      </c>
      <c r="E161" s="12">
        <v>7.57</v>
      </c>
      <c r="F161" s="12"/>
    </row>
    <row r="162" spans="1:6" ht="12.75">
      <c r="A162" s="4" t="s">
        <v>370</v>
      </c>
      <c r="B162">
        <v>56.19883</v>
      </c>
      <c r="C162">
        <v>29.65886</v>
      </c>
      <c r="D162" t="s">
        <v>389</v>
      </c>
      <c r="E162" s="12">
        <v>6.75</v>
      </c>
      <c r="F162" s="12"/>
    </row>
    <row r="163" spans="1:6" ht="12.75">
      <c r="A163" s="4" t="s">
        <v>371</v>
      </c>
      <c r="B163">
        <v>56.19547</v>
      </c>
      <c r="C163">
        <v>29.66177</v>
      </c>
      <c r="D163" t="s">
        <v>389</v>
      </c>
      <c r="E163" s="12">
        <v>8.01</v>
      </c>
      <c r="F163" s="12"/>
    </row>
    <row r="164" spans="5:6" ht="12.75">
      <c r="E164" s="12"/>
      <c r="F164" s="12"/>
    </row>
    <row r="165" spans="5:6" ht="12.75">
      <c r="E165" s="12"/>
      <c r="F165" s="12"/>
    </row>
    <row r="166" spans="5:6" ht="12.75">
      <c r="E166" s="12"/>
      <c r="F166" s="14"/>
    </row>
    <row r="167" spans="5:6" ht="12.75">
      <c r="E167" s="12"/>
      <c r="F167" s="14"/>
    </row>
    <row r="168" ht="12.75">
      <c r="E168" s="12"/>
    </row>
    <row r="199" ht="15" customHeight="1"/>
    <row r="211" spans="1:6" ht="12.75">
      <c r="A211" s="23"/>
      <c r="E211" s="14"/>
      <c r="F211" s="14"/>
    </row>
    <row r="212" spans="1:6" ht="12.75">
      <c r="A212" s="23"/>
      <c r="E212" s="14"/>
      <c r="F212" s="14"/>
    </row>
    <row r="213" spans="5:6" ht="12.75">
      <c r="E213" s="14"/>
      <c r="F213" s="14"/>
    </row>
    <row r="214" spans="5:6" ht="12.75">
      <c r="E214" s="14"/>
      <c r="F214" s="14"/>
    </row>
    <row r="215" spans="5:6" ht="12.75">
      <c r="E215" s="14"/>
      <c r="F215" s="14"/>
    </row>
    <row r="216" spans="5:6" ht="12.75">
      <c r="E216" s="14"/>
      <c r="F216" s="14"/>
    </row>
    <row r="217" spans="5:6" ht="12.75">
      <c r="E217" s="14"/>
      <c r="F217" s="14"/>
    </row>
    <row r="218" spans="5:6" ht="12.75">
      <c r="E218" s="14"/>
      <c r="F218" s="14"/>
    </row>
    <row r="219" spans="5:6" ht="12.75">
      <c r="E219" s="14"/>
      <c r="F219" s="14"/>
    </row>
    <row r="220" spans="5:6" ht="12.75">
      <c r="E220" s="14"/>
      <c r="F220" s="14"/>
    </row>
    <row r="221" spans="5:6" ht="12.75">
      <c r="E221" s="14"/>
      <c r="F221" s="14"/>
    </row>
    <row r="222" spans="5:6" ht="12.75">
      <c r="E222" s="14"/>
      <c r="F222" s="14"/>
    </row>
    <row r="223" spans="5:6" ht="12.75">
      <c r="E223" s="14"/>
      <c r="F223" s="14"/>
    </row>
    <row r="224" spans="5:6" ht="12.75">
      <c r="E224" s="14"/>
      <c r="F224" s="14"/>
    </row>
    <row r="225" spans="5:6" ht="12.75">
      <c r="E225" s="14"/>
      <c r="F225" s="14"/>
    </row>
    <row r="226" spans="5:6" ht="12.75">
      <c r="E226" s="14"/>
      <c r="F226" s="14"/>
    </row>
    <row r="227" spans="5:6" ht="12.75">
      <c r="E227" s="14"/>
      <c r="F227" s="14"/>
    </row>
    <row r="228" spans="5:6" ht="12.75">
      <c r="E228" s="14"/>
      <c r="F228" s="14"/>
    </row>
    <row r="229" spans="5:6" ht="12.75">
      <c r="E229" s="14"/>
      <c r="F229" s="14"/>
    </row>
    <row r="230" spans="5:6" ht="12.75">
      <c r="E230" s="14"/>
      <c r="F230" s="14"/>
    </row>
    <row r="231" spans="5:6" ht="12.75">
      <c r="E231" s="14"/>
      <c r="F231" s="14"/>
    </row>
    <row r="232" spans="5:6" ht="12.75">
      <c r="E232" s="14"/>
      <c r="F232" s="14"/>
    </row>
    <row r="233" spans="5:6" ht="12.75">
      <c r="E233" s="14"/>
      <c r="F233" s="14"/>
    </row>
    <row r="234" spans="5:6" ht="12.75">
      <c r="E234" s="14"/>
      <c r="F234" s="14"/>
    </row>
    <row r="235" spans="5:6" ht="12.75">
      <c r="E235" s="14"/>
      <c r="F235" s="14"/>
    </row>
    <row r="236" spans="5:6" ht="12.75">
      <c r="E236" s="14"/>
      <c r="F236" s="14"/>
    </row>
    <row r="237" spans="5:7" ht="12.75">
      <c r="E237" s="14"/>
      <c r="F237" s="14"/>
      <c r="G237" s="22"/>
    </row>
    <row r="238" spans="5:6" ht="12.75">
      <c r="E238" s="14"/>
      <c r="F238" s="14"/>
    </row>
    <row r="239" spans="5:6" ht="12.75">
      <c r="E239" s="14"/>
      <c r="F239" s="14"/>
    </row>
    <row r="240" spans="5:6" ht="12.75">
      <c r="E240" s="14"/>
      <c r="F240" s="14"/>
    </row>
    <row r="241" spans="5:6" ht="12.75">
      <c r="E241" s="14"/>
      <c r="F241" s="14"/>
    </row>
    <row r="242" spans="5:6" ht="12.75">
      <c r="E242" s="14"/>
      <c r="F242" s="14"/>
    </row>
    <row r="243" spans="5:6" ht="12.75">
      <c r="E243" s="14"/>
      <c r="F243" s="14"/>
    </row>
    <row r="244" spans="5:6" ht="12.75">
      <c r="E244" s="14"/>
      <c r="F244" s="14"/>
    </row>
    <row r="245" spans="5:6" ht="12.75">
      <c r="E245" s="14"/>
      <c r="F245" s="14"/>
    </row>
    <row r="246" spans="5:6" ht="12.75">
      <c r="E246" s="14"/>
      <c r="F246" s="14"/>
    </row>
    <row r="247" spans="5:6" ht="12.75">
      <c r="E247" s="14"/>
      <c r="F247" s="14"/>
    </row>
    <row r="248" spans="5:6" ht="12.75">
      <c r="E248" s="14"/>
      <c r="F248" s="14"/>
    </row>
    <row r="249" spans="5:6" ht="12.75">
      <c r="E249" s="14"/>
      <c r="F249" s="14"/>
    </row>
    <row r="250" spans="5:6" ht="12.75">
      <c r="E250" s="14"/>
      <c r="F250" s="14"/>
    </row>
    <row r="251" spans="5:6" ht="12.75">
      <c r="E251" s="14"/>
      <c r="F251" s="14"/>
    </row>
    <row r="252" spans="5:6" ht="12.75">
      <c r="E252" s="14"/>
      <c r="F252" s="14"/>
    </row>
    <row r="253" spans="5:6" ht="12.75">
      <c r="E253" s="14"/>
      <c r="F253" s="14"/>
    </row>
    <row r="254" spans="5:6" ht="12.75">
      <c r="E254" s="14"/>
      <c r="F254" s="14"/>
    </row>
    <row r="255" spans="5:6" ht="12.75">
      <c r="E255" s="14"/>
      <c r="F255" s="14"/>
    </row>
    <row r="256" spans="5:6" ht="12.75">
      <c r="E256" s="14"/>
      <c r="F256" s="14"/>
    </row>
    <row r="257" spans="5:6" ht="12.75">
      <c r="E257" s="14"/>
      <c r="F257" s="14"/>
    </row>
    <row r="258" spans="5:7" ht="12.75">
      <c r="E258" s="14"/>
      <c r="F258" s="14"/>
      <c r="G258" s="17"/>
    </row>
    <row r="259" spans="5:7" ht="12.75">
      <c r="E259" s="14"/>
      <c r="F259" s="14"/>
      <c r="G259" s="22"/>
    </row>
    <row r="260" spans="5:7" ht="12.75">
      <c r="E260" s="14"/>
      <c r="F260" s="14"/>
      <c r="G260" s="17"/>
    </row>
    <row r="261" spans="5:7" ht="12.75">
      <c r="E261" s="14"/>
      <c r="F261" s="14"/>
      <c r="G261" s="17"/>
    </row>
    <row r="262" spans="5:7" ht="12.75">
      <c r="E262" s="14"/>
      <c r="F262" s="14"/>
      <c r="G262" s="17"/>
    </row>
    <row r="267" spans="5:6" ht="12.75">
      <c r="E267" s="14"/>
      <c r="F267" s="14"/>
    </row>
    <row r="268" spans="5:6" ht="12.75">
      <c r="E268" s="14"/>
      <c r="F268" s="14"/>
    </row>
    <row r="269" spans="5:6" ht="12.75">
      <c r="E269" s="14"/>
      <c r="F269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27.875" style="0" customWidth="1"/>
    <col min="2" max="16384" width="6.375" style="0" customWidth="1"/>
  </cols>
  <sheetData>
    <row r="1" ht="12.75">
      <c r="A1" t="s">
        <v>265</v>
      </c>
    </row>
    <row r="3" spans="1:3" ht="12.75">
      <c r="A3" t="s">
        <v>266</v>
      </c>
      <c r="B3">
        <v>0.025</v>
      </c>
      <c r="C3" t="s">
        <v>267</v>
      </c>
    </row>
    <row r="5" spans="1:2" ht="12.75">
      <c r="A5" t="s">
        <v>273</v>
      </c>
      <c r="B5">
        <v>6232874</v>
      </c>
    </row>
    <row r="6" spans="1:2" ht="12.75">
      <c r="A6" t="s">
        <v>274</v>
      </c>
      <c r="B6">
        <v>665535</v>
      </c>
    </row>
    <row r="7" spans="1:11" ht="12.75">
      <c r="A7" t="s">
        <v>268</v>
      </c>
      <c r="B7">
        <v>0</v>
      </c>
      <c r="C7">
        <v>3</v>
      </c>
      <c r="D7">
        <v>4</v>
      </c>
      <c r="E7">
        <v>2.5</v>
      </c>
      <c r="F7">
        <v>2.5</v>
      </c>
      <c r="G7">
        <v>1.5</v>
      </c>
      <c r="H7">
        <v>1.5</v>
      </c>
      <c r="I7">
        <v>3</v>
      </c>
      <c r="K7" t="s">
        <v>277</v>
      </c>
    </row>
    <row r="8" spans="1:9" ht="12.75">
      <c r="A8" t="s">
        <v>269</v>
      </c>
      <c r="B8">
        <v>0</v>
      </c>
      <c r="C8">
        <f>B8+C7</f>
        <v>3</v>
      </c>
      <c r="D8">
        <f aca="true" t="shared" si="0" ref="D8:I8">C8+D7</f>
        <v>7</v>
      </c>
      <c r="E8">
        <f t="shared" si="0"/>
        <v>9.5</v>
      </c>
      <c r="F8">
        <f t="shared" si="0"/>
        <v>12</v>
      </c>
      <c r="G8">
        <f t="shared" si="0"/>
        <v>13.5</v>
      </c>
      <c r="H8">
        <f t="shared" si="0"/>
        <v>15</v>
      </c>
      <c r="I8">
        <f t="shared" si="0"/>
        <v>18</v>
      </c>
    </row>
    <row r="9" spans="1:9" ht="12.75">
      <c r="A9" t="s">
        <v>276</v>
      </c>
      <c r="B9">
        <v>0</v>
      </c>
      <c r="C9">
        <v>27</v>
      </c>
      <c r="D9">
        <v>60</v>
      </c>
      <c r="E9" s="8">
        <f>E7*100/7</f>
        <v>35.714285714285715</v>
      </c>
      <c r="F9" s="8">
        <f>F7*100/7</f>
        <v>35.714285714285715</v>
      </c>
      <c r="G9" s="8">
        <f>G7*100/7</f>
        <v>21.428571428571427</v>
      </c>
      <c r="H9" s="8">
        <f>H7*100/7</f>
        <v>21.428571428571427</v>
      </c>
      <c r="I9" s="8">
        <f>I7*100/7</f>
        <v>42.857142857142854</v>
      </c>
    </row>
    <row r="10" spans="1:9" ht="12.75">
      <c r="A10" t="s">
        <v>275</v>
      </c>
      <c r="B10">
        <v>0</v>
      </c>
      <c r="C10" s="8">
        <f>B10+C9</f>
        <v>27</v>
      </c>
      <c r="D10" s="8">
        <f aca="true" t="shared" si="1" ref="D10:I10">C10+D9</f>
        <v>87</v>
      </c>
      <c r="E10" s="8">
        <f t="shared" si="1"/>
        <v>122.71428571428572</v>
      </c>
      <c r="F10" s="8">
        <f t="shared" si="1"/>
        <v>158.42857142857144</v>
      </c>
      <c r="G10" s="8">
        <f t="shared" si="1"/>
        <v>179.85714285714286</v>
      </c>
      <c r="H10" s="8">
        <f t="shared" si="1"/>
        <v>201.28571428571428</v>
      </c>
      <c r="I10" s="8">
        <f t="shared" si="1"/>
        <v>244.14285714285714</v>
      </c>
    </row>
    <row r="11" spans="1:9" ht="12.75">
      <c r="A11" t="s">
        <v>270</v>
      </c>
      <c r="B11" s="8">
        <f>10*4/1.8</f>
        <v>22.22222222222222</v>
      </c>
      <c r="C11">
        <v>20</v>
      </c>
      <c r="D11">
        <v>20</v>
      </c>
      <c r="E11" s="8">
        <f>10/3*4</f>
        <v>13.333333333333334</v>
      </c>
      <c r="F11">
        <f>5*3.2/2</f>
        <v>8</v>
      </c>
      <c r="G11">
        <v>2</v>
      </c>
      <c r="H11">
        <v>1</v>
      </c>
      <c r="I11">
        <v>0</v>
      </c>
    </row>
    <row r="12" spans="1:11" ht="12.75">
      <c r="A12" t="s">
        <v>271</v>
      </c>
      <c r="B12" s="8">
        <f>AVERAGE(1.4,1.4,1.4)*$B$3/4/100*1000000</f>
        <v>87.49999999999999</v>
      </c>
      <c r="C12" s="8">
        <f>AVERAGE(1.4,1.2,1.2)*$B$3/4/100*1000000</f>
        <v>79.16666666666667</v>
      </c>
      <c r="D12" s="8">
        <f>AVERAGE(1.4,1.2,1.2)*$B$3/4/100*1000000</f>
        <v>79.16666666666667</v>
      </c>
      <c r="F12" s="8">
        <f>AVERAGE(1.4,1.5,1.4)*$B$3/4/100*1000000</f>
        <v>89.58333333333333</v>
      </c>
      <c r="H12" s="8">
        <f>AVERAGE(1.7,1.6,1.7)*$B$3/4/100*1000000</f>
        <v>104.16666666666667</v>
      </c>
      <c r="I12" s="8">
        <f>AVERAGE(2,2,1.9)*$B$3/4/100*1000000</f>
        <v>122.91666666666669</v>
      </c>
      <c r="K12" s="8">
        <f>AVERAGE(2.2,2.2,2.4)*$B$3/4/100*1000000</f>
        <v>141.6666666666667</v>
      </c>
    </row>
    <row r="13" spans="1:11" ht="12.75">
      <c r="A13" t="s">
        <v>32</v>
      </c>
      <c r="B13">
        <v>11</v>
      </c>
      <c r="C13" s="14">
        <v>9.3</v>
      </c>
      <c r="D13">
        <v>9.4</v>
      </c>
      <c r="F13">
        <v>10</v>
      </c>
      <c r="H13">
        <v>11</v>
      </c>
      <c r="K13">
        <v>14</v>
      </c>
    </row>
    <row r="14" spans="1:11" ht="12.75">
      <c r="A14" t="s">
        <v>272</v>
      </c>
      <c r="B14">
        <v>490</v>
      </c>
      <c r="C14">
        <v>465</v>
      </c>
      <c r="D14">
        <v>467</v>
      </c>
      <c r="F14">
        <v>461</v>
      </c>
      <c r="H14">
        <v>474</v>
      </c>
      <c r="K14">
        <v>475</v>
      </c>
    </row>
    <row r="15" spans="1:11" ht="12.75">
      <c r="A15" t="s">
        <v>7</v>
      </c>
      <c r="B15">
        <v>7.3</v>
      </c>
      <c r="C15">
        <v>7.49</v>
      </c>
      <c r="D15">
        <v>7.5</v>
      </c>
      <c r="F15">
        <v>7.52</v>
      </c>
      <c r="H15">
        <v>7.45</v>
      </c>
      <c r="K15">
        <v>7.46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4" sqref="A4"/>
    </sheetView>
  </sheetViews>
  <sheetFormatPr defaultColWidth="9.00390625" defaultRowHeight="12.75"/>
  <sheetData>
    <row r="3" ht="12.75">
      <c r="A3" t="s">
        <v>384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2008-06-02T18:30:17Z</dcterms:created>
  <dcterms:modified xsi:type="dcterms:W3CDTF">2009-10-13T04:09:05Z</dcterms:modified>
  <cp:category/>
  <cp:version/>
  <cp:contentType/>
  <cp:contentStatus/>
</cp:coreProperties>
</file>