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1" sheetId="1" r:id="rId1"/>
    <sheet name="Лист2" sheetId="2" r:id="rId2"/>
    <sheet name="Лист3" sheetId="3" r:id="rId3"/>
    <sheet name="Лист4" sheetId="4" r:id="rId4"/>
    <sheet name="Мокрое" sheetId="5" r:id="rId5"/>
  </sheets>
  <definedNames/>
  <calcPr fullCalcOnLoad="1"/>
</workbook>
</file>

<file path=xl/sharedStrings.xml><?xml version="1.0" encoding="utf-8"?>
<sst xmlns="http://schemas.openxmlformats.org/spreadsheetml/2006/main" count="335" uniqueCount="265">
  <si>
    <t>№</t>
  </si>
  <si>
    <t>с.ш.</t>
  </si>
  <si>
    <t>в.д.</t>
  </si>
  <si>
    <t>мкСм/см</t>
  </si>
  <si>
    <t>рН</t>
  </si>
  <si>
    <t>10-300</t>
  </si>
  <si>
    <t>10-301</t>
  </si>
  <si>
    <t>10-303</t>
  </si>
  <si>
    <t>10-304</t>
  </si>
  <si>
    <t>10-305</t>
  </si>
  <si>
    <t>10-308</t>
  </si>
  <si>
    <t>10-309</t>
  </si>
  <si>
    <t>10-311</t>
  </si>
  <si>
    <t>10-312</t>
  </si>
  <si>
    <t>10-313</t>
  </si>
  <si>
    <t>10-314</t>
  </si>
  <si>
    <t>10-315</t>
  </si>
  <si>
    <t>10-316</t>
  </si>
  <si>
    <t>10-317</t>
  </si>
  <si>
    <t>10-318</t>
  </si>
  <si>
    <t>10-319</t>
  </si>
  <si>
    <t>10-320</t>
  </si>
  <si>
    <t>10-321</t>
  </si>
  <si>
    <t>10-322</t>
  </si>
  <si>
    <t>10-302</t>
  </si>
  <si>
    <t>10-306</t>
  </si>
  <si>
    <t>10-307</t>
  </si>
  <si>
    <t>10-310</t>
  </si>
  <si>
    <t>56,18261</t>
  </si>
  <si>
    <t>56,18201</t>
  </si>
  <si>
    <t>56,18195</t>
  </si>
  <si>
    <t>56,18122</t>
  </si>
  <si>
    <t>56,18058</t>
  </si>
  <si>
    <t>56,17376</t>
  </si>
  <si>
    <t>56,17904</t>
  </si>
  <si>
    <t>56,17877</t>
  </si>
  <si>
    <t>56,17271</t>
  </si>
  <si>
    <t>56,18109</t>
  </si>
  <si>
    <t>56,18027</t>
  </si>
  <si>
    <t>56,18112</t>
  </si>
  <si>
    <t>56,17611</t>
  </si>
  <si>
    <t>56,17092</t>
  </si>
  <si>
    <t>56,17045</t>
  </si>
  <si>
    <t>56,17934</t>
  </si>
  <si>
    <t>56,16891</t>
  </si>
  <si>
    <t>56,16883</t>
  </si>
  <si>
    <t>56,16306</t>
  </si>
  <si>
    <t>56,17473</t>
  </si>
  <si>
    <t>56,16047</t>
  </si>
  <si>
    <t>56,17244</t>
  </si>
  <si>
    <t>29,69086</t>
  </si>
  <si>
    <t>29,69275</t>
  </si>
  <si>
    <t>29,69283</t>
  </si>
  <si>
    <t>29,69331</t>
  </si>
  <si>
    <t>29,69253</t>
  </si>
  <si>
    <t>29,69412</t>
  </si>
  <si>
    <t>29,69368</t>
  </si>
  <si>
    <t>29,69477</t>
  </si>
  <si>
    <t>29,69500</t>
  </si>
  <si>
    <t>29,69461</t>
  </si>
  <si>
    <t>29,69453</t>
  </si>
  <si>
    <t>29,69440</t>
  </si>
  <si>
    <t>29,70019</t>
  </si>
  <si>
    <t>29,70520</t>
  </si>
  <si>
    <t>29,70514</t>
  </si>
  <si>
    <t>29,70470</t>
  </si>
  <si>
    <t>29,70355</t>
  </si>
  <si>
    <t>29,70601</t>
  </si>
  <si>
    <t>29,70671</t>
  </si>
  <si>
    <t>29,70610</t>
  </si>
  <si>
    <t>29,70775</t>
  </si>
  <si>
    <t>29,70744</t>
  </si>
  <si>
    <t>Дата</t>
  </si>
  <si>
    <t>Прибор GPS</t>
  </si>
  <si>
    <t>прибор рН</t>
  </si>
  <si>
    <t>10-100</t>
  </si>
  <si>
    <t>10-101</t>
  </si>
  <si>
    <t>10-102</t>
  </si>
  <si>
    <t>10-103</t>
  </si>
  <si>
    <t>10-104</t>
  </si>
  <si>
    <t>10-105</t>
  </si>
  <si>
    <t>10-106</t>
  </si>
  <si>
    <t>10-107</t>
  </si>
  <si>
    <t>10-108</t>
  </si>
  <si>
    <t>10-109</t>
  </si>
  <si>
    <t>10-110</t>
  </si>
  <si>
    <t>10-111</t>
  </si>
  <si>
    <t>10-112</t>
  </si>
  <si>
    <t>10-113</t>
  </si>
  <si>
    <t>10-116</t>
  </si>
  <si>
    <t>10-114</t>
  </si>
  <si>
    <t>10-115</t>
  </si>
  <si>
    <t>рН по АТС</t>
  </si>
  <si>
    <t>рН по China</t>
  </si>
  <si>
    <t>6.3.</t>
  </si>
  <si>
    <t>7.08.</t>
  </si>
  <si>
    <t>8.1.</t>
  </si>
  <si>
    <t>7.3.</t>
  </si>
  <si>
    <t>6.76.</t>
  </si>
  <si>
    <t>6.2.</t>
  </si>
  <si>
    <t>6.9.</t>
  </si>
  <si>
    <t xml:space="preserve"> 6.2.</t>
  </si>
  <si>
    <t>6.4.</t>
  </si>
  <si>
    <t>7.14.</t>
  </si>
  <si>
    <t>6.95.</t>
  </si>
  <si>
    <t>6.62.</t>
  </si>
  <si>
    <t>5.3.</t>
  </si>
  <si>
    <t>АТС/China</t>
  </si>
  <si>
    <t>6.81.</t>
  </si>
  <si>
    <t>6.1.</t>
  </si>
  <si>
    <t>6.7.</t>
  </si>
  <si>
    <t>6.</t>
  </si>
  <si>
    <t xml:space="preserve"> 6.8</t>
  </si>
  <si>
    <t>7.2.</t>
  </si>
  <si>
    <t>7.1.</t>
  </si>
  <si>
    <t>7.45.</t>
  </si>
  <si>
    <t>7.4.</t>
  </si>
  <si>
    <t>6.5.</t>
  </si>
  <si>
    <t>6.6.</t>
  </si>
  <si>
    <t>5.6.</t>
  </si>
  <si>
    <t>5.9.</t>
  </si>
  <si>
    <t>6.25.</t>
  </si>
  <si>
    <t>6.24.</t>
  </si>
  <si>
    <t>Место</t>
  </si>
  <si>
    <t>после Рижского тракта, справа</t>
  </si>
  <si>
    <t>от дороги (ручей)</t>
  </si>
  <si>
    <t>ручей у нач. Никонихи</t>
  </si>
  <si>
    <t>болото справа от дороги</t>
  </si>
  <si>
    <t>река Наречанка, пересекает мост</t>
  </si>
  <si>
    <t>первая лужа на тракте</t>
  </si>
  <si>
    <t>вторая лужа на тракте</t>
  </si>
  <si>
    <t>ручей л-п</t>
  </si>
  <si>
    <t>третья лужа на тракте</t>
  </si>
  <si>
    <t>ручей, идущий через дорогу</t>
  </si>
  <si>
    <t>ручей среди деревьев</t>
  </si>
  <si>
    <t>лужа на тракте</t>
  </si>
  <si>
    <t>ручей на тракте</t>
  </si>
  <si>
    <t>кр. Ручей (речка)</t>
  </si>
  <si>
    <t>лужа</t>
  </si>
  <si>
    <t>ручей</t>
  </si>
  <si>
    <t>Прибор рН</t>
  </si>
  <si>
    <t>Прибор эл-пров.</t>
  </si>
  <si>
    <t>72 №2</t>
  </si>
  <si>
    <t>combo</t>
  </si>
  <si>
    <t>72 №1</t>
  </si>
  <si>
    <t>10-001</t>
  </si>
  <si>
    <t>10-002</t>
  </si>
  <si>
    <t>10-003</t>
  </si>
  <si>
    <t>10-004</t>
  </si>
  <si>
    <t>10-005</t>
  </si>
  <si>
    <t>10-006</t>
  </si>
  <si>
    <t>10-010</t>
  </si>
  <si>
    <t>10-011</t>
  </si>
  <si>
    <t>10-012</t>
  </si>
  <si>
    <t>10-013</t>
  </si>
  <si>
    <t>10-014</t>
  </si>
  <si>
    <t>10-015</t>
  </si>
  <si>
    <t>10-016</t>
  </si>
  <si>
    <t>10-017</t>
  </si>
  <si>
    <t>10-018</t>
  </si>
  <si>
    <t>10-019</t>
  </si>
  <si>
    <t>10-020</t>
  </si>
  <si>
    <t>29.69520</t>
  </si>
  <si>
    <t>56.18783</t>
  </si>
  <si>
    <t>29.70538</t>
  </si>
  <si>
    <t>56.18788</t>
  </si>
  <si>
    <t>29.70525</t>
  </si>
  <si>
    <t>56.18753</t>
  </si>
  <si>
    <t>29.70710</t>
  </si>
  <si>
    <t>56.18694</t>
  </si>
  <si>
    <t>29.70795</t>
  </si>
  <si>
    <t>56.18632</t>
  </si>
  <si>
    <t>29.70824</t>
  </si>
  <si>
    <t>56.18551</t>
  </si>
  <si>
    <t>29.70942</t>
  </si>
  <si>
    <t>56.18582</t>
  </si>
  <si>
    <t>29.71912</t>
  </si>
  <si>
    <t>56.18579</t>
  </si>
  <si>
    <t>29.72241</t>
  </si>
  <si>
    <t>56.18684</t>
  </si>
  <si>
    <t>29.72981</t>
  </si>
  <si>
    <t>56.18669</t>
  </si>
  <si>
    <t>29.70758</t>
  </si>
  <si>
    <t>ручей у Пономарево</t>
  </si>
  <si>
    <t>лужа на старой дороге из Пономарево</t>
  </si>
  <si>
    <t>болото рядом</t>
  </si>
  <si>
    <t>та же дорога, след. Лужа</t>
  </si>
  <si>
    <t>та же дорога, след. большая Лужа</t>
  </si>
  <si>
    <t>ручей через дорогу, слева на право</t>
  </si>
  <si>
    <t>правая дорога, болото</t>
  </si>
  <si>
    <t>речка справа налево после заброшенной деревни</t>
  </si>
  <si>
    <t>лужа на дороге ниже</t>
  </si>
  <si>
    <t>канава в колее</t>
  </si>
  <si>
    <t>след. Поляна, лужа под деревом</t>
  </si>
  <si>
    <t>Сводная таблица результатов анализов воды в Фенево</t>
  </si>
  <si>
    <t>С(HCl)</t>
  </si>
  <si>
    <t>mM</t>
  </si>
  <si>
    <t>C(ЭДТА)</t>
  </si>
  <si>
    <t>C(Ag)</t>
  </si>
  <si>
    <t>C(Na2S2O3)</t>
  </si>
  <si>
    <t>Точка</t>
  </si>
  <si>
    <t>Т04</t>
  </si>
  <si>
    <t>Название</t>
  </si>
  <si>
    <t>р. Наричанка</t>
  </si>
  <si>
    <t>Бригада</t>
  </si>
  <si>
    <t>время</t>
  </si>
  <si>
    <t>Цветность</t>
  </si>
  <si>
    <t>Проводимость, мкСм/см</t>
  </si>
  <si>
    <t>Щелочность общая, мМ</t>
  </si>
  <si>
    <t>Жесткость, мМ</t>
  </si>
  <si>
    <t>Кальций, мМ</t>
  </si>
  <si>
    <t>Хлориды по хромату, мМ</t>
  </si>
  <si>
    <t>Fe2+, мкМ</t>
  </si>
  <si>
    <t>O2, мкМ</t>
  </si>
  <si>
    <t>Щелочность/жесткость</t>
  </si>
  <si>
    <t>Н3</t>
  </si>
  <si>
    <t>Голубев, Колодкин, Чепиков</t>
  </si>
  <si>
    <t>Н2</t>
  </si>
  <si>
    <t>колодец в Асовике</t>
  </si>
  <si>
    <t>Голубев, Чепиков</t>
  </si>
  <si>
    <t>Озеро Рясно</t>
  </si>
  <si>
    <t>T01</t>
  </si>
  <si>
    <t>оз. Глубошня</t>
  </si>
  <si>
    <t>Жилин и Ко</t>
  </si>
  <si>
    <t>T11</t>
  </si>
  <si>
    <t>Погосян*2, Лебедев, Семенова</t>
  </si>
  <si>
    <t>оз. Беленькое</t>
  </si>
  <si>
    <t>c-106/d-115</t>
  </si>
  <si>
    <t>T20</t>
  </si>
  <si>
    <t>c-50/d-310</t>
  </si>
  <si>
    <t>&lt;5</t>
  </si>
  <si>
    <t>ручей около Абрамыча</t>
  </si>
  <si>
    <t>Колодкин, Супряга, Чепиков</t>
  </si>
  <si>
    <t>Колодкин, Супряга, Чепчиков</t>
  </si>
  <si>
    <t>-</t>
  </si>
  <si>
    <t>T05</t>
  </si>
  <si>
    <t>БЕЛКА</t>
  </si>
  <si>
    <t>Харлампиева, Супряга, Колодкин, Кирюхин</t>
  </si>
  <si>
    <t>T07</t>
  </si>
  <si>
    <t>оз. Далысское</t>
  </si>
  <si>
    <t>Супряга, Колодкин, Чепиков</t>
  </si>
  <si>
    <t>T10</t>
  </si>
  <si>
    <t>Верховня</t>
  </si>
  <si>
    <t>Кирюхин, Пронин, Левчук</t>
  </si>
  <si>
    <t>Н1</t>
  </si>
  <si>
    <t>р.Наричанка</t>
  </si>
  <si>
    <t xml:space="preserve"> р.Наричанка под мостом</t>
  </si>
  <si>
    <t>K07</t>
  </si>
  <si>
    <t>колодец в Асовике у первого дома</t>
  </si>
  <si>
    <t>Жилин, Даушева, Голубев, Чепиков</t>
  </si>
  <si>
    <t>T16</t>
  </si>
  <si>
    <t>ручей через болото</t>
  </si>
  <si>
    <t>T23</t>
  </si>
  <si>
    <t>Лебедев, Пронин, Шаталова</t>
  </si>
  <si>
    <t>T14</t>
  </si>
  <si>
    <t>р. Уща</t>
  </si>
  <si>
    <t>T34</t>
  </si>
  <si>
    <t>ключ Знырной</t>
  </si>
  <si>
    <t>Фарисенков, Семенова, Погосян</t>
  </si>
  <si>
    <t>T24</t>
  </si>
  <si>
    <t>оз. Сухонское</t>
  </si>
  <si>
    <t>T12</t>
  </si>
  <si>
    <t>оз.Таланкинское</t>
  </si>
  <si>
    <t>р. Ущанка</t>
  </si>
  <si>
    <t>Жилин, Даушева, Дасаева, Фарисенков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</si>
</sst>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mmm/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16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18" applyFont="1">
      <alignment/>
      <protection/>
    </xf>
    <xf numFmtId="0" fontId="4" fillId="0" borderId="0" xfId="18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14" fontId="4" fillId="0" borderId="0" xfId="18" applyNumberFormat="1">
      <alignment/>
      <protection/>
    </xf>
    <xf numFmtId="20" fontId="4" fillId="0" borderId="0" xfId="18" applyNumberFormat="1">
      <alignment/>
      <protection/>
    </xf>
    <xf numFmtId="1" fontId="4" fillId="0" borderId="0" xfId="18" applyNumberFormat="1">
      <alignment/>
      <protection/>
    </xf>
    <xf numFmtId="2" fontId="4" fillId="0" borderId="0" xfId="18" applyNumberFormat="1">
      <alignment/>
      <protection/>
    </xf>
    <xf numFmtId="2" fontId="9" fillId="0" borderId="0" xfId="18" applyNumberFormat="1" applyFont="1">
      <alignment/>
      <protection/>
    </xf>
    <xf numFmtId="2" fontId="8" fillId="0" borderId="0" xfId="18" applyNumberFormat="1" applyFont="1">
      <alignment/>
      <protection/>
    </xf>
    <xf numFmtId="1" fontId="9" fillId="0" borderId="0" xfId="18" applyNumberFormat="1" applyFont="1">
      <alignment/>
      <protection/>
    </xf>
    <xf numFmtId="172" fontId="11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4" fillId="0" borderId="0" xfId="18" applyAlignment="1">
      <alignment horizontal="right"/>
      <protection/>
    </xf>
    <xf numFmtId="2" fontId="4" fillId="0" borderId="0" xfId="18" applyNumberFormat="1" applyFont="1">
      <alignment/>
      <protection/>
    </xf>
    <xf numFmtId="1" fontId="4" fillId="0" borderId="0" xfId="18" applyNumberFormat="1" applyFon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ez0606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7"/>
  <sheetViews>
    <sheetView workbookViewId="0" topLeftCell="A1">
      <selection activeCell="G1" sqref="G1"/>
    </sheetView>
  </sheetViews>
  <sheetFormatPr defaultColWidth="9.140625" defaultRowHeight="12.75"/>
  <sheetData>
    <row r="1" spans="4:8" ht="12.75"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</row>
    <row r="2" spans="4:8" ht="12.75">
      <c r="D2" t="s">
        <v>145</v>
      </c>
      <c r="E2">
        <v>56.20988</v>
      </c>
      <c r="F2">
        <v>29.64</v>
      </c>
      <c r="G2">
        <v>0.04</v>
      </c>
      <c r="H2">
        <v>5.97</v>
      </c>
    </row>
    <row r="3" spans="4:8" ht="12.75">
      <c r="D3" t="s">
        <v>146</v>
      </c>
      <c r="E3">
        <v>56.21024</v>
      </c>
      <c r="F3">
        <v>29.63965</v>
      </c>
      <c r="G3">
        <v>0.02</v>
      </c>
      <c r="H3">
        <v>5.17</v>
      </c>
    </row>
    <row r="4" spans="4:8" ht="12.75">
      <c r="D4" t="s">
        <v>147</v>
      </c>
      <c r="E4">
        <v>56.2103</v>
      </c>
      <c r="F4">
        <v>29.63918</v>
      </c>
      <c r="G4">
        <v>0.08</v>
      </c>
      <c r="H4">
        <v>3.53</v>
      </c>
    </row>
    <row r="5" spans="4:8" ht="12.75">
      <c r="D5" t="s">
        <v>148</v>
      </c>
      <c r="E5">
        <v>56.21037</v>
      </c>
      <c r="F5">
        <v>29.63919</v>
      </c>
      <c r="G5">
        <v>0.09</v>
      </c>
      <c r="H5">
        <v>3.57</v>
      </c>
    </row>
    <row r="6" spans="4:8" ht="12.75">
      <c r="D6" t="s">
        <v>149</v>
      </c>
      <c r="E6">
        <v>56.21087</v>
      </c>
      <c r="F6">
        <v>29.63888</v>
      </c>
      <c r="G6">
        <v>0.06</v>
      </c>
      <c r="H6">
        <v>3.84</v>
      </c>
    </row>
    <row r="7" spans="4:8" ht="12.75">
      <c r="D7" t="s">
        <v>150</v>
      </c>
      <c r="E7">
        <v>56.22406</v>
      </c>
      <c r="F7">
        <v>29.61551</v>
      </c>
      <c r="G7">
        <v>0.07</v>
      </c>
      <c r="H7">
        <v>3.7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24" sqref="A24"/>
    </sheetView>
  </sheetViews>
  <sheetFormatPr defaultColWidth="9.140625" defaultRowHeight="12.75"/>
  <cols>
    <col min="1" max="1" width="22.7109375" style="0" customWidth="1"/>
    <col min="2" max="2" width="10.140625" style="0" bestFit="1" customWidth="1"/>
    <col min="9" max="9" width="31.421875" style="0" customWidth="1"/>
  </cols>
  <sheetData>
    <row r="1" spans="4:9" ht="12.7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4" t="s">
        <v>123</v>
      </c>
    </row>
    <row r="2" spans="1:9" ht="12.75">
      <c r="A2" s="4" t="s">
        <v>72</v>
      </c>
      <c r="B2" s="2">
        <v>39027</v>
      </c>
      <c r="D2" t="s">
        <v>75</v>
      </c>
      <c r="E2">
        <v>56.21001</v>
      </c>
      <c r="F2">
        <v>29.71711</v>
      </c>
      <c r="G2">
        <v>221</v>
      </c>
      <c r="H2">
        <v>7.57</v>
      </c>
      <c r="I2" t="s">
        <v>124</v>
      </c>
    </row>
    <row r="3" spans="1:9" ht="12.75">
      <c r="A3" s="4" t="s">
        <v>73</v>
      </c>
      <c r="B3" t="s">
        <v>142</v>
      </c>
      <c r="D3" t="s">
        <v>76</v>
      </c>
      <c r="E3">
        <v>56.21006</v>
      </c>
      <c r="F3">
        <v>29.72165</v>
      </c>
      <c r="G3">
        <v>320</v>
      </c>
      <c r="H3">
        <v>7.86</v>
      </c>
      <c r="I3" t="s">
        <v>125</v>
      </c>
    </row>
    <row r="4" spans="1:9" ht="12.75">
      <c r="A4" s="4" t="s">
        <v>140</v>
      </c>
      <c r="B4" t="s">
        <v>143</v>
      </c>
      <c r="D4" t="s">
        <v>77</v>
      </c>
      <c r="E4">
        <v>56.20971</v>
      </c>
      <c r="F4">
        <v>29.72876</v>
      </c>
      <c r="G4">
        <v>422</v>
      </c>
      <c r="H4">
        <v>8.25</v>
      </c>
      <c r="I4" t="s">
        <v>126</v>
      </c>
    </row>
    <row r="5" spans="1:9" ht="12.75">
      <c r="A5" s="5" t="s">
        <v>141</v>
      </c>
      <c r="B5" t="s">
        <v>143</v>
      </c>
      <c r="D5" t="s">
        <v>78</v>
      </c>
      <c r="E5">
        <v>56.21168</v>
      </c>
      <c r="F5">
        <v>29.73974</v>
      </c>
      <c r="G5">
        <v>400</v>
      </c>
      <c r="H5">
        <v>7.29</v>
      </c>
      <c r="I5" t="s">
        <v>127</v>
      </c>
    </row>
    <row r="6" spans="4:9" ht="12.75">
      <c r="D6" t="s">
        <v>79</v>
      </c>
      <c r="E6">
        <v>56.2149</v>
      </c>
      <c r="F6">
        <v>29.75051</v>
      </c>
      <c r="G6">
        <v>183</v>
      </c>
      <c r="H6">
        <v>7.91</v>
      </c>
      <c r="I6" t="s">
        <v>128</v>
      </c>
    </row>
    <row r="7" spans="4:9" ht="12.75">
      <c r="D7" t="s">
        <v>80</v>
      </c>
      <c r="E7">
        <v>56.21015</v>
      </c>
      <c r="F7">
        <v>29.71283</v>
      </c>
      <c r="G7">
        <v>392</v>
      </c>
      <c r="H7">
        <v>7.9</v>
      </c>
      <c r="I7" t="s">
        <v>129</v>
      </c>
    </row>
    <row r="8" spans="4:9" ht="12.75">
      <c r="D8" t="s">
        <v>81</v>
      </c>
      <c r="E8">
        <v>56.21056</v>
      </c>
      <c r="F8">
        <v>29.71075</v>
      </c>
      <c r="G8">
        <v>250</v>
      </c>
      <c r="H8">
        <v>7.6</v>
      </c>
      <c r="I8" t="s">
        <v>130</v>
      </c>
    </row>
    <row r="9" spans="4:9" ht="12.75">
      <c r="D9" t="s">
        <v>82</v>
      </c>
      <c r="E9">
        <v>56.21071</v>
      </c>
      <c r="F9">
        <v>29.70959</v>
      </c>
      <c r="G9">
        <v>354</v>
      </c>
      <c r="H9">
        <v>7.9</v>
      </c>
      <c r="I9" t="s">
        <v>132</v>
      </c>
    </row>
    <row r="10" spans="4:9" ht="12.75">
      <c r="D10" t="s">
        <v>83</v>
      </c>
      <c r="E10">
        <v>56.21075</v>
      </c>
      <c r="F10">
        <v>29.70925</v>
      </c>
      <c r="G10">
        <v>157</v>
      </c>
      <c r="H10">
        <v>7</v>
      </c>
      <c r="I10" t="s">
        <v>133</v>
      </c>
    </row>
    <row r="11" spans="4:9" ht="12.75">
      <c r="D11" t="s">
        <v>84</v>
      </c>
      <c r="E11">
        <v>56.21268</v>
      </c>
      <c r="F11">
        <v>29.69789</v>
      </c>
      <c r="G11">
        <v>115</v>
      </c>
      <c r="H11">
        <v>6.9</v>
      </c>
      <c r="I11" t="s">
        <v>134</v>
      </c>
    </row>
    <row r="12" spans="4:9" ht="12.75">
      <c r="D12" t="s">
        <v>85</v>
      </c>
      <c r="E12">
        <v>56.21394</v>
      </c>
      <c r="F12">
        <v>29.69044</v>
      </c>
      <c r="G12">
        <v>260</v>
      </c>
      <c r="H12">
        <v>7.12</v>
      </c>
      <c r="I12" t="s">
        <v>135</v>
      </c>
    </row>
    <row r="13" spans="4:9" ht="12.75">
      <c r="D13" t="s">
        <v>86</v>
      </c>
      <c r="E13">
        <v>56.21486</v>
      </c>
      <c r="F13">
        <v>29.6966</v>
      </c>
      <c r="G13">
        <v>65</v>
      </c>
      <c r="H13">
        <v>6.45</v>
      </c>
      <c r="I13" t="s">
        <v>136</v>
      </c>
    </row>
    <row r="14" spans="4:9" ht="12.75">
      <c r="D14" t="s">
        <v>87</v>
      </c>
      <c r="E14">
        <v>56.21714</v>
      </c>
      <c r="F14">
        <v>29.6911</v>
      </c>
      <c r="G14">
        <v>110</v>
      </c>
      <c r="H14">
        <v>7.1</v>
      </c>
      <c r="I14" t="s">
        <v>137</v>
      </c>
    </row>
    <row r="15" spans="4:9" ht="12.75">
      <c r="D15" t="s">
        <v>88</v>
      </c>
      <c r="E15">
        <v>56.21699</v>
      </c>
      <c r="F15">
        <v>29.65948</v>
      </c>
      <c r="G15">
        <v>200</v>
      </c>
      <c r="H15">
        <v>7.1</v>
      </c>
      <c r="I15" t="s">
        <v>138</v>
      </c>
    </row>
    <row r="16" spans="4:9" ht="12.75">
      <c r="D16" t="s">
        <v>90</v>
      </c>
      <c r="E16">
        <v>56.2168</v>
      </c>
      <c r="F16">
        <v>29.61653</v>
      </c>
      <c r="G16">
        <v>36</v>
      </c>
      <c r="H16">
        <v>6.85</v>
      </c>
      <c r="I16" t="s">
        <v>139</v>
      </c>
    </row>
    <row r="17" spans="4:9" ht="12.75">
      <c r="D17" t="s">
        <v>91</v>
      </c>
      <c r="E17">
        <v>56.21692</v>
      </c>
      <c r="F17">
        <v>29.68088</v>
      </c>
      <c r="G17">
        <v>46</v>
      </c>
      <c r="H17">
        <v>7.15</v>
      </c>
      <c r="I17" t="s">
        <v>139</v>
      </c>
    </row>
    <row r="18" spans="4:9" ht="12.75">
      <c r="D18" t="s">
        <v>89</v>
      </c>
      <c r="E18">
        <v>56.21643</v>
      </c>
      <c r="F18">
        <v>29.67231</v>
      </c>
      <c r="G18">
        <v>71</v>
      </c>
      <c r="H18">
        <v>6.95</v>
      </c>
      <c r="I18" t="s">
        <v>139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8" sqref="B8"/>
    </sheetView>
  </sheetViews>
  <sheetFormatPr defaultColWidth="9.140625" defaultRowHeight="12.75"/>
  <cols>
    <col min="1" max="1" width="12.57421875" style="0" customWidth="1"/>
    <col min="2" max="2" width="11.8515625" style="0" customWidth="1"/>
    <col min="3" max="3" width="5.28125" style="0" customWidth="1"/>
    <col min="8" max="8" width="12.7109375" style="0" customWidth="1"/>
    <col min="9" max="9" width="13.00390625" style="0" customWidth="1"/>
    <col min="10" max="10" width="25.140625" style="0" customWidth="1"/>
  </cols>
  <sheetData>
    <row r="1" spans="4:9" ht="12.75">
      <c r="D1" s="1" t="s">
        <v>0</v>
      </c>
      <c r="E1" s="1" t="s">
        <v>1</v>
      </c>
      <c r="F1" s="1" t="s">
        <v>2</v>
      </c>
      <c r="G1" s="1" t="s">
        <v>3</v>
      </c>
      <c r="H1" s="1" t="s">
        <v>92</v>
      </c>
      <c r="I1" s="1" t="s">
        <v>93</v>
      </c>
    </row>
    <row r="2" spans="1:10" ht="12.75">
      <c r="A2" s="1" t="s">
        <v>72</v>
      </c>
      <c r="B2" s="2">
        <v>39027</v>
      </c>
      <c r="D2" t="s">
        <v>5</v>
      </c>
      <c r="E2" t="s">
        <v>28</v>
      </c>
      <c r="F2" t="s">
        <v>50</v>
      </c>
      <c r="G2">
        <v>209</v>
      </c>
      <c r="H2" s="3" t="s">
        <v>94</v>
      </c>
      <c r="I2" s="3" t="s">
        <v>95</v>
      </c>
      <c r="J2" t="s">
        <v>131</v>
      </c>
    </row>
    <row r="3" spans="1:10" ht="12.75">
      <c r="A3" s="1" t="s">
        <v>73</v>
      </c>
      <c r="B3" t="s">
        <v>144</v>
      </c>
      <c r="D3" t="s">
        <v>6</v>
      </c>
      <c r="E3" t="s">
        <v>29</v>
      </c>
      <c r="F3" t="s">
        <v>51</v>
      </c>
      <c r="G3">
        <v>298</v>
      </c>
      <c r="H3" t="s">
        <v>99</v>
      </c>
      <c r="I3" t="s">
        <v>104</v>
      </c>
      <c r="J3" t="s">
        <v>131</v>
      </c>
    </row>
    <row r="4" spans="1:9" ht="12.75">
      <c r="A4" s="1" t="s">
        <v>74</v>
      </c>
      <c r="B4" t="s">
        <v>107</v>
      </c>
      <c r="D4" t="s">
        <v>24</v>
      </c>
      <c r="E4" t="s">
        <v>30</v>
      </c>
      <c r="F4" t="s">
        <v>52</v>
      </c>
      <c r="G4">
        <v>412</v>
      </c>
      <c r="H4" t="s">
        <v>97</v>
      </c>
      <c r="I4" s="3" t="s">
        <v>96</v>
      </c>
    </row>
    <row r="5" spans="4:9" ht="12.75">
      <c r="D5" t="s">
        <v>7</v>
      </c>
      <c r="E5" t="s">
        <v>31</v>
      </c>
      <c r="F5" t="s">
        <v>53</v>
      </c>
      <c r="G5">
        <v>284</v>
      </c>
      <c r="H5" t="s">
        <v>99</v>
      </c>
      <c r="I5" t="s">
        <v>98</v>
      </c>
    </row>
    <row r="6" spans="4:7" ht="12.75">
      <c r="D6" t="s">
        <v>8</v>
      </c>
      <c r="G6">
        <v>320</v>
      </c>
    </row>
    <row r="7" spans="4:9" ht="12.75">
      <c r="D7" t="s">
        <v>9</v>
      </c>
      <c r="E7" t="s">
        <v>39</v>
      </c>
      <c r="F7" t="s">
        <v>54</v>
      </c>
      <c r="G7">
        <v>172</v>
      </c>
      <c r="H7" t="s">
        <v>101</v>
      </c>
      <c r="I7" t="s">
        <v>100</v>
      </c>
    </row>
    <row r="8" spans="4:9" ht="12.75">
      <c r="D8" t="s">
        <v>25</v>
      </c>
      <c r="E8" t="s">
        <v>32</v>
      </c>
      <c r="F8" t="s">
        <v>55</v>
      </c>
      <c r="G8">
        <v>199</v>
      </c>
      <c r="H8" t="s">
        <v>102</v>
      </c>
      <c r="I8" t="s">
        <v>103</v>
      </c>
    </row>
    <row r="9" spans="4:9" ht="12.75">
      <c r="D9" t="s">
        <v>26</v>
      </c>
      <c r="E9" t="s">
        <v>38</v>
      </c>
      <c r="F9" t="s">
        <v>56</v>
      </c>
      <c r="G9">
        <v>240</v>
      </c>
      <c r="H9" t="s">
        <v>106</v>
      </c>
      <c r="I9" t="s">
        <v>105</v>
      </c>
    </row>
    <row r="10" spans="4:9" ht="12.75">
      <c r="D10" t="s">
        <v>10</v>
      </c>
      <c r="E10" t="s">
        <v>37</v>
      </c>
      <c r="F10" t="s">
        <v>57</v>
      </c>
      <c r="G10">
        <v>116</v>
      </c>
      <c r="H10" t="s">
        <v>94</v>
      </c>
      <c r="I10" t="s">
        <v>99</v>
      </c>
    </row>
    <row r="11" spans="4:9" ht="12.75">
      <c r="D11" t="s">
        <v>11</v>
      </c>
      <c r="E11" t="s">
        <v>33</v>
      </c>
      <c r="F11" t="s">
        <v>58</v>
      </c>
      <c r="G11">
        <v>182</v>
      </c>
      <c r="H11" t="s">
        <v>109</v>
      </c>
      <c r="I11" t="s">
        <v>108</v>
      </c>
    </row>
    <row r="12" spans="4:9" ht="12.75">
      <c r="D12" t="s">
        <v>27</v>
      </c>
      <c r="E12" t="s">
        <v>34</v>
      </c>
      <c r="F12" t="s">
        <v>59</v>
      </c>
      <c r="G12">
        <v>141</v>
      </c>
      <c r="H12" s="2" t="s">
        <v>111</v>
      </c>
      <c r="I12" t="s">
        <v>110</v>
      </c>
    </row>
    <row r="13" spans="4:9" ht="12.75">
      <c r="D13" t="s">
        <v>12</v>
      </c>
      <c r="E13" t="s">
        <v>35</v>
      </c>
      <c r="F13" t="s">
        <v>60</v>
      </c>
      <c r="G13">
        <v>154</v>
      </c>
      <c r="H13" t="s">
        <v>111</v>
      </c>
      <c r="I13" t="s">
        <v>112</v>
      </c>
    </row>
    <row r="14" spans="4:9" ht="12.75">
      <c r="D14" t="s">
        <v>13</v>
      </c>
      <c r="E14" t="s">
        <v>36</v>
      </c>
      <c r="F14" t="s">
        <v>61</v>
      </c>
      <c r="G14">
        <v>185</v>
      </c>
      <c r="H14" t="s">
        <v>102</v>
      </c>
      <c r="I14" t="s">
        <v>113</v>
      </c>
    </row>
    <row r="15" spans="4:9" ht="12.75">
      <c r="D15" t="s">
        <v>14</v>
      </c>
      <c r="E15" t="s">
        <v>40</v>
      </c>
      <c r="F15" t="s">
        <v>62</v>
      </c>
      <c r="G15">
        <v>182</v>
      </c>
      <c r="H15" t="s">
        <v>102</v>
      </c>
      <c r="I15" t="s">
        <v>114</v>
      </c>
    </row>
    <row r="16" spans="4:9" ht="12.75">
      <c r="D16" t="s">
        <v>15</v>
      </c>
      <c r="E16" t="s">
        <v>47</v>
      </c>
      <c r="F16" t="s">
        <v>63</v>
      </c>
      <c r="G16">
        <v>189</v>
      </c>
      <c r="H16" t="s">
        <v>102</v>
      </c>
      <c r="I16" t="s">
        <v>115</v>
      </c>
    </row>
    <row r="17" spans="4:9" ht="12.75">
      <c r="D17" t="s">
        <v>16</v>
      </c>
      <c r="E17" t="s">
        <v>41</v>
      </c>
      <c r="F17" t="s">
        <v>64</v>
      </c>
      <c r="G17">
        <v>75</v>
      </c>
      <c r="H17" t="s">
        <v>117</v>
      </c>
      <c r="I17" s="3" t="s">
        <v>116</v>
      </c>
    </row>
    <row r="18" spans="4:9" ht="12.75">
      <c r="D18" t="s">
        <v>17</v>
      </c>
      <c r="E18" t="s">
        <v>42</v>
      </c>
      <c r="F18" t="s">
        <v>65</v>
      </c>
      <c r="G18">
        <v>47</v>
      </c>
      <c r="H18" t="s">
        <v>119</v>
      </c>
      <c r="I18" t="s">
        <v>118</v>
      </c>
    </row>
    <row r="19" spans="4:9" ht="12.75">
      <c r="D19" t="s">
        <v>18</v>
      </c>
      <c r="E19" t="s">
        <v>43</v>
      </c>
      <c r="F19" t="s">
        <v>66</v>
      </c>
      <c r="G19">
        <v>99</v>
      </c>
      <c r="H19" t="s">
        <v>120</v>
      </c>
      <c r="I19" t="s">
        <v>110</v>
      </c>
    </row>
    <row r="20" spans="4:9" ht="12.75">
      <c r="D20" t="s">
        <v>19</v>
      </c>
      <c r="E20" t="s">
        <v>44</v>
      </c>
      <c r="F20" t="s">
        <v>67</v>
      </c>
      <c r="G20">
        <v>39</v>
      </c>
      <c r="H20" t="s">
        <v>119</v>
      </c>
      <c r="I20" t="s">
        <v>99</v>
      </c>
    </row>
    <row r="21" spans="4:9" ht="12.75">
      <c r="D21" t="s">
        <v>20</v>
      </c>
      <c r="E21" t="s">
        <v>45</v>
      </c>
      <c r="F21" t="s">
        <v>68</v>
      </c>
      <c r="G21">
        <v>56</v>
      </c>
      <c r="I21" t="s">
        <v>121</v>
      </c>
    </row>
    <row r="22" spans="4:9" ht="12.75">
      <c r="D22" t="s">
        <v>21</v>
      </c>
      <c r="E22" t="s">
        <v>46</v>
      </c>
      <c r="F22" t="s">
        <v>69</v>
      </c>
      <c r="G22">
        <v>68</v>
      </c>
      <c r="I22" t="s">
        <v>100</v>
      </c>
    </row>
    <row r="23" spans="4:9" ht="12.75">
      <c r="D23" t="s">
        <v>22</v>
      </c>
      <c r="E23" t="s">
        <v>48</v>
      </c>
      <c r="F23" t="s">
        <v>70</v>
      </c>
      <c r="G23">
        <v>97</v>
      </c>
      <c r="I23" t="s">
        <v>122</v>
      </c>
    </row>
    <row r="24" spans="4:9" ht="12.75">
      <c r="D24" t="s">
        <v>23</v>
      </c>
      <c r="E24" t="s">
        <v>49</v>
      </c>
      <c r="F24" t="s">
        <v>71</v>
      </c>
      <c r="G24">
        <v>147</v>
      </c>
      <c r="I24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1:I12"/>
  <sheetViews>
    <sheetView workbookViewId="0" topLeftCell="A1">
      <selection activeCell="I7" sqref="I7"/>
    </sheetView>
  </sheetViews>
  <sheetFormatPr defaultColWidth="9.140625" defaultRowHeight="12.75"/>
  <cols>
    <col min="9" max="9" width="44.421875" style="0" customWidth="1"/>
  </cols>
  <sheetData>
    <row r="1" spans="4:9" ht="12.75"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123</v>
      </c>
    </row>
    <row r="2" spans="4:9" ht="12.75">
      <c r="D2" t="s">
        <v>151</v>
      </c>
      <c r="E2">
        <v>56.18591</v>
      </c>
      <c r="F2" t="s">
        <v>162</v>
      </c>
      <c r="G2">
        <v>170</v>
      </c>
      <c r="H2">
        <v>6.92</v>
      </c>
      <c r="I2" t="s">
        <v>183</v>
      </c>
    </row>
    <row r="3" spans="4:9" ht="12.75">
      <c r="D3" t="s">
        <v>152</v>
      </c>
      <c r="E3" t="s">
        <v>163</v>
      </c>
      <c r="F3" t="s">
        <v>164</v>
      </c>
      <c r="G3">
        <v>178</v>
      </c>
      <c r="H3">
        <v>7</v>
      </c>
      <c r="I3" t="s">
        <v>184</v>
      </c>
    </row>
    <row r="4" spans="4:9" ht="12.75">
      <c r="D4" t="s">
        <v>153</v>
      </c>
      <c r="E4" t="s">
        <v>165</v>
      </c>
      <c r="F4" t="s">
        <v>166</v>
      </c>
      <c r="G4">
        <v>300</v>
      </c>
      <c r="H4">
        <v>6.8</v>
      </c>
      <c r="I4" t="s">
        <v>185</v>
      </c>
    </row>
    <row r="5" spans="4:9" ht="12.75">
      <c r="D5" t="s">
        <v>154</v>
      </c>
      <c r="E5" t="s">
        <v>167</v>
      </c>
      <c r="F5" t="s">
        <v>168</v>
      </c>
      <c r="G5">
        <v>570</v>
      </c>
      <c r="H5">
        <v>7.51</v>
      </c>
      <c r="I5" t="s">
        <v>186</v>
      </c>
    </row>
    <row r="6" spans="4:9" ht="12.75">
      <c r="D6" t="s">
        <v>155</v>
      </c>
      <c r="E6" t="s">
        <v>169</v>
      </c>
      <c r="F6" t="s">
        <v>170</v>
      </c>
      <c r="G6">
        <v>85</v>
      </c>
      <c r="H6">
        <v>6.9</v>
      </c>
      <c r="I6" t="s">
        <v>187</v>
      </c>
    </row>
    <row r="7" spans="4:9" ht="12.75">
      <c r="D7" t="s">
        <v>156</v>
      </c>
      <c r="E7" t="s">
        <v>171</v>
      </c>
      <c r="F7" t="s">
        <v>172</v>
      </c>
      <c r="G7">
        <v>81</v>
      </c>
      <c r="H7">
        <v>6.94</v>
      </c>
      <c r="I7" t="s">
        <v>193</v>
      </c>
    </row>
    <row r="8" spans="4:9" ht="12.75">
      <c r="D8" t="s">
        <v>157</v>
      </c>
      <c r="E8" t="s">
        <v>173</v>
      </c>
      <c r="F8" t="s">
        <v>174</v>
      </c>
      <c r="G8">
        <v>175</v>
      </c>
      <c r="H8">
        <v>6.96</v>
      </c>
      <c r="I8" t="s">
        <v>188</v>
      </c>
    </row>
    <row r="9" spans="4:9" ht="12.75">
      <c r="D9" t="s">
        <v>158</v>
      </c>
      <c r="E9" t="s">
        <v>175</v>
      </c>
      <c r="F9" t="s">
        <v>176</v>
      </c>
      <c r="G9">
        <v>107</v>
      </c>
      <c r="H9">
        <v>6.95</v>
      </c>
      <c r="I9" t="s">
        <v>189</v>
      </c>
    </row>
    <row r="10" spans="4:9" ht="12.75">
      <c r="D10" t="s">
        <v>159</v>
      </c>
      <c r="E10" t="s">
        <v>177</v>
      </c>
      <c r="F10" t="s">
        <v>178</v>
      </c>
      <c r="G10">
        <v>54</v>
      </c>
      <c r="H10">
        <v>6.55</v>
      </c>
      <c r="I10" t="s">
        <v>191</v>
      </c>
    </row>
    <row r="11" spans="4:9" ht="12.75">
      <c r="D11" t="s">
        <v>160</v>
      </c>
      <c r="E11" t="s">
        <v>179</v>
      </c>
      <c r="F11" t="s">
        <v>180</v>
      </c>
      <c r="G11">
        <v>82</v>
      </c>
      <c r="H11">
        <v>6.82</v>
      </c>
      <c r="I11" t="s">
        <v>190</v>
      </c>
    </row>
    <row r="12" spans="4:9" ht="12.75">
      <c r="D12" t="s">
        <v>161</v>
      </c>
      <c r="E12" t="s">
        <v>181</v>
      </c>
      <c r="F12" t="s">
        <v>182</v>
      </c>
      <c r="G12">
        <v>165</v>
      </c>
      <c r="H12">
        <v>6.78</v>
      </c>
      <c r="I12" t="s">
        <v>192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27"/>
  <sheetViews>
    <sheetView tabSelected="1" workbookViewId="0" topLeftCell="A9">
      <pane xSplit="1" ySplit="1" topLeftCell="B10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B17" sqref="B17"/>
    </sheetView>
  </sheetViews>
  <sheetFormatPr defaultColWidth="9.140625" defaultRowHeight="12.75"/>
  <cols>
    <col min="1" max="1" width="23.57421875" style="7" customWidth="1"/>
    <col min="2" max="5" width="5.7109375" style="7" customWidth="1"/>
    <col min="6" max="6" width="5.8515625" style="7" customWidth="1"/>
    <col min="7" max="51" width="5.7109375" style="7" customWidth="1"/>
    <col min="52" max="52" width="9.140625" style="7" customWidth="1"/>
    <col min="53" max="65" width="5.7109375" style="7" customWidth="1"/>
    <col min="66" max="67" width="7.57421875" style="7" customWidth="1"/>
    <col min="68" max="68" width="6.7109375" style="7" customWidth="1"/>
    <col min="69" max="69" width="7.28125" style="7" customWidth="1"/>
    <col min="70" max="70" width="6.8515625" style="7" customWidth="1"/>
    <col min="71" max="71" width="6.28125" style="7" customWidth="1"/>
    <col min="72" max="83" width="5.7109375" style="7" customWidth="1"/>
    <col min="84" max="84" width="7.140625" style="7" customWidth="1"/>
    <col min="85" max="16384" width="5.7109375" style="7" customWidth="1"/>
  </cols>
  <sheetData>
    <row r="1" ht="15.75">
      <c r="A1" s="6" t="s">
        <v>194</v>
      </c>
    </row>
    <row r="3" spans="1:28" ht="12.75">
      <c r="A3" s="7" t="s">
        <v>195</v>
      </c>
      <c r="AA3" s="7">
        <v>50</v>
      </c>
      <c r="AB3" s="7" t="s">
        <v>196</v>
      </c>
    </row>
    <row r="4" spans="1:49" ht="12.75">
      <c r="A4" s="7" t="s">
        <v>197</v>
      </c>
      <c r="AA4" s="7">
        <v>25</v>
      </c>
      <c r="AB4" s="7" t="s">
        <v>196</v>
      </c>
      <c r="AW4" s="8"/>
    </row>
    <row r="5" spans="1:28" ht="12.75">
      <c r="A5" s="7" t="s">
        <v>198</v>
      </c>
      <c r="AA5" s="7">
        <v>10</v>
      </c>
      <c r="AB5" s="7" t="s">
        <v>196</v>
      </c>
    </row>
    <row r="6" spans="1:28" ht="12.75">
      <c r="A6" s="7" t="s">
        <v>199</v>
      </c>
      <c r="AA6" s="7">
        <v>20</v>
      </c>
      <c r="AB6" s="7" t="s">
        <v>196</v>
      </c>
    </row>
    <row r="9" spans="1:61" ht="12.75">
      <c r="A9" s="7" t="s">
        <v>200</v>
      </c>
      <c r="B9" s="20" t="s">
        <v>215</v>
      </c>
      <c r="C9" s="20" t="s">
        <v>217</v>
      </c>
      <c r="D9" s="20" t="s">
        <v>201</v>
      </c>
      <c r="E9" s="20" t="s">
        <v>221</v>
      </c>
      <c r="F9" s="9" t="s">
        <v>224</v>
      </c>
      <c r="G9" s="20" t="s">
        <v>228</v>
      </c>
      <c r="H9" s="20" t="s">
        <v>221</v>
      </c>
      <c r="J9" s="20" t="s">
        <v>235</v>
      </c>
      <c r="K9" s="20" t="s">
        <v>238</v>
      </c>
      <c r="L9" s="20" t="s">
        <v>241</v>
      </c>
      <c r="M9" s="20" t="s">
        <v>215</v>
      </c>
      <c r="N9" s="20" t="s">
        <v>244</v>
      </c>
      <c r="O9" s="20" t="s">
        <v>247</v>
      </c>
      <c r="P9" s="20" t="s">
        <v>250</v>
      </c>
      <c r="Q9" s="20" t="s">
        <v>252</v>
      </c>
      <c r="R9" s="20" t="s">
        <v>254</v>
      </c>
      <c r="S9" s="20" t="s">
        <v>256</v>
      </c>
      <c r="T9" s="20" t="s">
        <v>234</v>
      </c>
      <c r="U9" s="20" t="s">
        <v>259</v>
      </c>
      <c r="V9" s="20" t="s">
        <v>261</v>
      </c>
      <c r="W9" s="20" t="s">
        <v>254</v>
      </c>
      <c r="AF9" s="10"/>
      <c r="AJ9" s="10"/>
      <c r="AK9" s="10"/>
      <c r="AQ9" s="10"/>
      <c r="BA9" s="10"/>
      <c r="BI9" s="11"/>
    </row>
    <row r="10" spans="1:23" ht="12.75">
      <c r="A10" s="7" t="s">
        <v>202</v>
      </c>
      <c r="B10" s="20" t="s">
        <v>203</v>
      </c>
      <c r="C10" s="20" t="s">
        <v>218</v>
      </c>
      <c r="D10" s="20" t="s">
        <v>220</v>
      </c>
      <c r="E10" s="20" t="s">
        <v>222</v>
      </c>
      <c r="F10" s="20" t="s">
        <v>226</v>
      </c>
      <c r="H10" s="20" t="s">
        <v>222</v>
      </c>
      <c r="I10" s="20" t="s">
        <v>231</v>
      </c>
      <c r="J10" s="20" t="s">
        <v>236</v>
      </c>
      <c r="K10" s="20" t="s">
        <v>239</v>
      </c>
      <c r="L10" s="20" t="s">
        <v>242</v>
      </c>
      <c r="M10" s="20" t="s">
        <v>245</v>
      </c>
      <c r="N10" s="20" t="s">
        <v>246</v>
      </c>
      <c r="O10" s="20" t="s">
        <v>248</v>
      </c>
      <c r="P10" s="20" t="s">
        <v>251</v>
      </c>
      <c r="Q10" s="20" t="s">
        <v>139</v>
      </c>
      <c r="R10" s="20" t="s">
        <v>255</v>
      </c>
      <c r="S10" s="20" t="s">
        <v>257</v>
      </c>
      <c r="T10" s="20" t="s">
        <v>234</v>
      </c>
      <c r="U10" s="20" t="s">
        <v>260</v>
      </c>
      <c r="V10" s="20" t="s">
        <v>262</v>
      </c>
      <c r="W10" s="20" t="s">
        <v>263</v>
      </c>
    </row>
    <row r="11" spans="1:23" ht="12.75">
      <c r="A11" s="7" t="s">
        <v>1</v>
      </c>
      <c r="F11" s="7">
        <v>56.20235</v>
      </c>
      <c r="G11" s="7">
        <v>56.21309</v>
      </c>
      <c r="P11" s="7">
        <v>56.20187</v>
      </c>
      <c r="Q11" s="7">
        <v>56.21857</v>
      </c>
      <c r="U11" s="7">
        <v>56.22539</v>
      </c>
      <c r="V11" s="7">
        <v>56.21827</v>
      </c>
      <c r="W11" s="7">
        <v>56.23291</v>
      </c>
    </row>
    <row r="12" spans="1:23" ht="12.75">
      <c r="A12" s="7" t="s">
        <v>2</v>
      </c>
      <c r="F12" s="7">
        <v>29.66426</v>
      </c>
      <c r="G12" s="7">
        <v>29.65551</v>
      </c>
      <c r="P12" s="7">
        <v>29.64872</v>
      </c>
      <c r="Q12" s="7">
        <v>29.65522</v>
      </c>
      <c r="U12" s="7">
        <v>29.64023</v>
      </c>
      <c r="V12" s="7">
        <v>29.61947</v>
      </c>
      <c r="W12" s="7">
        <v>29.6072</v>
      </c>
    </row>
    <row r="13" spans="1:23" ht="12.75">
      <c r="A13" s="7" t="s">
        <v>204</v>
      </c>
      <c r="B13" s="20" t="s">
        <v>216</v>
      </c>
      <c r="C13" s="20" t="s">
        <v>219</v>
      </c>
      <c r="D13" s="20" t="s">
        <v>219</v>
      </c>
      <c r="E13" s="20" t="s">
        <v>223</v>
      </c>
      <c r="F13" s="20" t="s">
        <v>225</v>
      </c>
      <c r="G13" s="7" t="s">
        <v>225</v>
      </c>
      <c r="H13" s="20" t="s">
        <v>233</v>
      </c>
      <c r="I13" s="20" t="s">
        <v>232</v>
      </c>
      <c r="J13" s="20" t="s">
        <v>237</v>
      </c>
      <c r="K13" s="20" t="s">
        <v>240</v>
      </c>
      <c r="L13" s="20" t="s">
        <v>243</v>
      </c>
      <c r="M13" s="7" t="s">
        <v>243</v>
      </c>
      <c r="N13" s="7" t="s">
        <v>243</v>
      </c>
      <c r="O13" s="20" t="s">
        <v>249</v>
      </c>
      <c r="P13" s="7" t="s">
        <v>249</v>
      </c>
      <c r="Q13" s="20" t="s">
        <v>253</v>
      </c>
      <c r="R13" s="7" t="s">
        <v>253</v>
      </c>
      <c r="S13" s="20" t="s">
        <v>258</v>
      </c>
      <c r="T13" s="7" t="s">
        <v>258</v>
      </c>
      <c r="V13" s="20" t="s">
        <v>264</v>
      </c>
      <c r="W13" s="20" t="s">
        <v>264</v>
      </c>
    </row>
    <row r="14" spans="1:83" ht="12.75">
      <c r="A14" s="7" t="s">
        <v>72</v>
      </c>
      <c r="B14" s="12">
        <v>39030</v>
      </c>
      <c r="C14" s="12">
        <v>39030</v>
      </c>
      <c r="D14" s="12">
        <v>39030</v>
      </c>
      <c r="E14" s="12">
        <v>39025</v>
      </c>
      <c r="F14" s="12">
        <v>39026</v>
      </c>
      <c r="G14" s="12">
        <v>39026</v>
      </c>
      <c r="H14" s="12"/>
      <c r="I14" s="12"/>
      <c r="J14" s="12"/>
      <c r="K14" s="12"/>
      <c r="L14" s="12">
        <v>39028</v>
      </c>
      <c r="M14" s="12">
        <v>39028</v>
      </c>
      <c r="N14" s="12">
        <v>39028</v>
      </c>
      <c r="O14" s="12">
        <v>39029</v>
      </c>
      <c r="P14" s="12">
        <v>39029</v>
      </c>
      <c r="Q14" s="12">
        <v>39029</v>
      </c>
      <c r="R14" s="12">
        <v>39029</v>
      </c>
      <c r="S14" s="12">
        <v>39029</v>
      </c>
      <c r="T14" s="12">
        <v>39029</v>
      </c>
      <c r="U14" s="12">
        <v>39029</v>
      </c>
      <c r="V14" s="12">
        <v>39026</v>
      </c>
      <c r="W14" s="12">
        <v>39026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R14" s="12"/>
      <c r="BS14" s="12"/>
      <c r="BT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</row>
    <row r="15" spans="1:83" ht="12.75">
      <c r="A15" s="7" t="s">
        <v>205</v>
      </c>
      <c r="B15" s="13">
        <v>0.4375</v>
      </c>
      <c r="C15" s="13">
        <v>0.5416666666666666</v>
      </c>
      <c r="D15" s="13">
        <v>0.6979166666666666</v>
      </c>
      <c r="E15" s="13">
        <v>0.6666666666666666</v>
      </c>
      <c r="F15" s="13">
        <v>0.5034722222222222</v>
      </c>
      <c r="G15" s="13">
        <v>0.5833333333333334</v>
      </c>
      <c r="H15" s="13">
        <v>0.6319444444444444</v>
      </c>
      <c r="I15" s="13">
        <v>0.5881944444444445</v>
      </c>
      <c r="K15" s="13">
        <v>0.5208333333333334</v>
      </c>
      <c r="L15" s="13">
        <v>0.5416666666666666</v>
      </c>
      <c r="M15" s="13">
        <v>0.5833333333333334</v>
      </c>
      <c r="N15" s="13">
        <v>0.6666666666666666</v>
      </c>
      <c r="O15" s="13">
        <v>0.4583333333333333</v>
      </c>
      <c r="P15" s="13">
        <v>0.5520833333333334</v>
      </c>
      <c r="Q15" s="13">
        <v>0.4791666666666667</v>
      </c>
      <c r="R15" s="13">
        <v>0.5416666666666666</v>
      </c>
      <c r="S15" s="13">
        <v>0.46875</v>
      </c>
      <c r="T15" s="13"/>
      <c r="U15" s="13">
        <v>0.625</v>
      </c>
      <c r="V15" s="13">
        <v>0.5729166666666666</v>
      </c>
      <c r="W15" s="13">
        <v>0.6548611111111111</v>
      </c>
      <c r="X15" s="13"/>
      <c r="Z15" s="13"/>
      <c r="AA15" s="13"/>
      <c r="AB15" s="13"/>
      <c r="AC15" s="13"/>
      <c r="AD15" s="13"/>
      <c r="AE15" s="13"/>
      <c r="AF15" s="13"/>
      <c r="AG15" s="13"/>
      <c r="AL15" s="13"/>
      <c r="AM15" s="13"/>
      <c r="AN15" s="13"/>
      <c r="AQ15" s="13"/>
      <c r="AR15" s="13"/>
      <c r="AS15" s="13"/>
      <c r="AT15" s="13"/>
      <c r="AW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K15" s="13"/>
      <c r="BL15" s="13"/>
      <c r="BM15" s="13"/>
      <c r="BN15" s="13"/>
      <c r="BO15" s="13"/>
      <c r="BP15" s="13"/>
      <c r="BR15" s="13"/>
      <c r="BS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</row>
    <row r="16" spans="1:72" ht="12.75">
      <c r="A16" s="7" t="s">
        <v>206</v>
      </c>
      <c r="B16" s="7">
        <v>100</v>
      </c>
      <c r="C16" s="7">
        <v>0</v>
      </c>
      <c r="D16" s="21">
        <f>100*4.9/3.7</f>
        <v>132.43243243243245</v>
      </c>
      <c r="F16" s="14"/>
      <c r="G16" s="14"/>
      <c r="J16" s="7">
        <f>100*7.1/6.2</f>
        <v>114.51612903225806</v>
      </c>
      <c r="K16" s="14"/>
      <c r="L16" s="7">
        <f>100*4.6/3.4</f>
        <v>135.2941176470588</v>
      </c>
      <c r="M16" s="20">
        <f>50*4.7/2.5</f>
        <v>94</v>
      </c>
      <c r="N16" s="7">
        <f>100*4.6/4.2</f>
        <v>109.5238095238095</v>
      </c>
      <c r="O16" s="20" t="s">
        <v>234</v>
      </c>
      <c r="P16" s="14">
        <f>500*8/4.4</f>
        <v>909.090909090909</v>
      </c>
      <c r="Q16" s="7">
        <f>100*4.7/4</f>
        <v>117.5</v>
      </c>
      <c r="R16" s="7">
        <f>50*8/6</f>
        <v>66.66666666666667</v>
      </c>
      <c r="T16" s="7">
        <f>500*2/10</f>
        <v>100</v>
      </c>
      <c r="U16" s="14">
        <v>90</v>
      </c>
      <c r="V16" s="7">
        <v>90</v>
      </c>
      <c r="W16" s="7">
        <v>50</v>
      </c>
      <c r="AA16" s="14"/>
      <c r="AB16" s="14"/>
      <c r="AC16" s="14"/>
      <c r="AD16" s="14"/>
      <c r="AE16" s="14"/>
      <c r="AF16" s="14"/>
      <c r="AJ16" s="14"/>
      <c r="AK16" s="14"/>
      <c r="AL16" s="14"/>
      <c r="AQ16" s="14"/>
      <c r="AR16" s="14"/>
      <c r="AW16" s="14"/>
      <c r="AX16" s="14"/>
      <c r="AY16" s="14"/>
      <c r="BA16" s="14"/>
      <c r="BC16" s="14"/>
      <c r="BD16" s="14"/>
      <c r="BI16" s="14"/>
      <c r="BM16" s="14"/>
      <c r="BN16" s="14"/>
      <c r="BT16" s="14"/>
    </row>
    <row r="17" spans="1:23" ht="12.75">
      <c r="A17" s="20" t="s">
        <v>207</v>
      </c>
      <c r="B17" s="7">
        <v>107</v>
      </c>
      <c r="C17" s="7">
        <v>372</v>
      </c>
      <c r="D17" s="7">
        <v>123</v>
      </c>
      <c r="F17" s="20" t="s">
        <v>227</v>
      </c>
      <c r="G17" s="20" t="s">
        <v>229</v>
      </c>
      <c r="H17" s="7">
        <v>171</v>
      </c>
      <c r="I17" s="7">
        <v>184</v>
      </c>
      <c r="J17" s="7">
        <v>109</v>
      </c>
      <c r="K17" s="7">
        <v>149</v>
      </c>
      <c r="L17" s="7">
        <v>114</v>
      </c>
      <c r="M17" s="7">
        <v>206</v>
      </c>
      <c r="N17" s="7">
        <v>177</v>
      </c>
      <c r="O17" s="7">
        <v>302</v>
      </c>
      <c r="P17" s="7">
        <v>57</v>
      </c>
      <c r="Q17" s="7">
        <v>86</v>
      </c>
      <c r="R17" s="7">
        <v>155</v>
      </c>
      <c r="S17" s="7">
        <v>340</v>
      </c>
      <c r="T17" s="7">
        <v>463</v>
      </c>
      <c r="U17" s="7">
        <v>59</v>
      </c>
      <c r="V17" s="7">
        <v>0.01</v>
      </c>
      <c r="W17" s="7">
        <v>0.16</v>
      </c>
    </row>
    <row r="18" spans="1:23" ht="12.75">
      <c r="A18" s="7" t="s">
        <v>4</v>
      </c>
      <c r="B18" s="7">
        <v>7</v>
      </c>
      <c r="C18" s="7">
        <v>7.84</v>
      </c>
      <c r="D18" s="7">
        <v>7.8</v>
      </c>
      <c r="F18" s="7">
        <v>8.6</v>
      </c>
      <c r="G18" s="7">
        <v>6.4</v>
      </c>
      <c r="H18" s="7">
        <v>4.57</v>
      </c>
      <c r="I18" s="7">
        <v>6.98</v>
      </c>
      <c r="J18" s="7">
        <v>7.65</v>
      </c>
      <c r="K18" s="7">
        <v>7.64</v>
      </c>
      <c r="L18" s="7">
        <v>7.34</v>
      </c>
      <c r="M18" s="7">
        <v>7.8</v>
      </c>
      <c r="N18" s="7">
        <v>7.64</v>
      </c>
      <c r="O18" s="20">
        <v>8.11</v>
      </c>
      <c r="P18" s="7">
        <v>6.8</v>
      </c>
      <c r="Q18" s="7">
        <v>7.1</v>
      </c>
      <c r="R18" s="7">
        <v>7.8</v>
      </c>
      <c r="S18" s="7">
        <v>7.8</v>
      </c>
      <c r="T18" s="7">
        <v>7.68</v>
      </c>
      <c r="U18" s="7">
        <v>7.55</v>
      </c>
      <c r="V18" s="7">
        <v>5.62</v>
      </c>
      <c r="W18" s="7">
        <v>7.65</v>
      </c>
    </row>
    <row r="19" spans="1:77" ht="12.75">
      <c r="A19" s="7" t="s">
        <v>208</v>
      </c>
      <c r="B19" s="7">
        <f>AVERAGE(3.5,3.25,3.4)*50/100</f>
        <v>1.6916666666666667</v>
      </c>
      <c r="C19" s="7">
        <f>AVERAGE(9.4,9.5,9.3)*50/100</f>
        <v>4.7</v>
      </c>
      <c r="D19" s="7">
        <f>AVERAGE(4,4,4)*50/100</f>
        <v>2</v>
      </c>
      <c r="E19" s="7">
        <f>AVERAGE(4.2)*50/100</f>
        <v>2.1</v>
      </c>
      <c r="F19" s="15">
        <f>AVERAGE(3,2.8,2.9,2.8)*50/100</f>
        <v>1.4375</v>
      </c>
      <c r="G19" s="15">
        <f>AVERAGE(4,3.75,4,4)*50/100</f>
        <v>1.96875</v>
      </c>
      <c r="H19" s="7">
        <f>AVERAGE(4,4.2,4)*50/100</f>
        <v>2.033333333333333</v>
      </c>
      <c r="I19" s="7">
        <f>AVERAGE(4.4,4.6,4.4)*50/100</f>
        <v>2.2333333333333334</v>
      </c>
      <c r="J19" s="7">
        <f>AVERAGE(2,1.9,1.8)*50/100</f>
        <v>0.95</v>
      </c>
      <c r="K19" s="15">
        <f>AVERAGE(6,4.2,4.25,4.2)*50/100</f>
        <v>2.33125</v>
      </c>
      <c r="L19" s="7">
        <f>AVERAGE(2.4,2.4,2.6)*50/100</f>
        <v>1.2333333333333334</v>
      </c>
      <c r="M19" s="7">
        <f>AVERAGE(4.6,4.7,4.6)*50/100</f>
        <v>2.316666666666667</v>
      </c>
      <c r="N19" s="7">
        <f>AVERAGE(3.9,3.9,3.9)*50/100</f>
        <v>1.95</v>
      </c>
      <c r="O19" s="7">
        <f>AVERAGE(10,10.25,9.5,10)*50/100</f>
        <v>4.96875</v>
      </c>
      <c r="P19" s="15">
        <f>AVERAGE(1.4,1.5,1.5)*50/100</f>
        <v>0.7333333333333334</v>
      </c>
      <c r="Q19" s="7">
        <f>AVERAGE(2.8,2.7,2.8)*50/100</f>
        <v>1.3833333333333335</v>
      </c>
      <c r="R19" s="7">
        <f>AVERAGE(4,4,4.2)*50/100</f>
        <v>2.033333333333333</v>
      </c>
      <c r="S19" s="7">
        <f>AVERAGE(9.6,9)*50/100</f>
        <v>4.65</v>
      </c>
      <c r="T19" s="7">
        <f>AVERAGE(11.6,11.6,11.6,11.9)*50/100</f>
        <v>5.8375</v>
      </c>
      <c r="U19" s="15">
        <f>AVERAGE(1.8,1.7)*50/100</f>
        <v>0.875</v>
      </c>
      <c r="V19" s="7">
        <f>AVERAGE(0.6,0.3)*50/100</f>
        <v>0.22499999999999998</v>
      </c>
      <c r="W19" s="7">
        <f>AVERAGE(3.5,3.7)*50/100</f>
        <v>1.8</v>
      </c>
      <c r="X19" s="15"/>
      <c r="Y19" s="15"/>
      <c r="AA19" s="15"/>
      <c r="AB19" s="16"/>
      <c r="AC19" s="15"/>
      <c r="AD19" s="15"/>
      <c r="AE19" s="15"/>
      <c r="AF19" s="15"/>
      <c r="AJ19" s="15"/>
      <c r="AK19" s="15"/>
      <c r="AL19" s="15"/>
      <c r="AN19" s="15"/>
      <c r="AQ19" s="15"/>
      <c r="AR19" s="15"/>
      <c r="AT19" s="15"/>
      <c r="AW19" s="15"/>
      <c r="AX19" s="15"/>
      <c r="AY19" s="15"/>
      <c r="BA19" s="15"/>
      <c r="BC19" s="15"/>
      <c r="BD19" s="15"/>
      <c r="BF19" s="15"/>
      <c r="BH19" s="15"/>
      <c r="BI19" s="15"/>
      <c r="BM19" s="15"/>
      <c r="BN19" s="15"/>
      <c r="BQ19" s="15"/>
      <c r="BT19" s="15"/>
      <c r="BY19" s="15"/>
    </row>
    <row r="20" spans="1:77" ht="12.75">
      <c r="A20" s="7" t="s">
        <v>209</v>
      </c>
      <c r="B20" s="7">
        <f>AVERAGE(4,4,4)*25/100</f>
        <v>1</v>
      </c>
      <c r="C20" s="7">
        <f>AVERAGE(9,9,9)*25/100</f>
        <v>2.25</v>
      </c>
      <c r="D20" s="7">
        <f>AVERAGE(4.5,4.4,4.4)*25/100</f>
        <v>1.1083333333333334</v>
      </c>
      <c r="E20" s="7">
        <f>AVERAGE(4.6)*25/100</f>
        <v>1.15</v>
      </c>
      <c r="F20" s="15">
        <f>AVERAGE(4,3.5,3.5)*25/100</f>
        <v>0.9166666666666665</v>
      </c>
      <c r="G20" s="15">
        <f>AVERAGE(3.2,3.5,3.2)*25/100</f>
        <v>0.825</v>
      </c>
      <c r="H20" s="20" t="s">
        <v>234</v>
      </c>
      <c r="I20" s="7">
        <f>AVERAGE(5.8)*25/100</f>
        <v>1.45</v>
      </c>
      <c r="J20" s="7">
        <f>AVERAGE(1.8,3,1.8,1.7)*25/100</f>
        <v>0.5187499999999999</v>
      </c>
      <c r="K20" s="22" t="s">
        <v>234</v>
      </c>
      <c r="L20" s="7">
        <f>AVERAGE(2.8,2.8,2.6)*25/100</f>
        <v>0.6833333333333332</v>
      </c>
      <c r="M20" s="7">
        <f>AVERAGE(4.6,4.8,4.7)*25/100</f>
        <v>1.1749999999999998</v>
      </c>
      <c r="N20" s="7">
        <f>AVERAGE(4.6,4.4,4.4)*25/100</f>
        <v>1.1166666666666667</v>
      </c>
      <c r="O20" s="7">
        <f>AVERAGE(8.5,8.5,8.5)*25/100</f>
        <v>2.125</v>
      </c>
      <c r="P20" s="15">
        <f>AVERAGE(2.5,2.5,2.2)*25/100</f>
        <v>0.6</v>
      </c>
      <c r="Q20" s="7">
        <f>AVERAGE(4.6,4.4,4.5)*25/100</f>
        <v>1.125</v>
      </c>
      <c r="R20" s="7">
        <f>AVERAGE(4.9,5,5)*25/100</f>
        <v>1.2416666666666667</v>
      </c>
      <c r="S20" s="20" t="s">
        <v>234</v>
      </c>
      <c r="T20" s="7">
        <f>AVERAGE(4.6,4.8,4.7)*25/100</f>
        <v>1.1749999999999998</v>
      </c>
      <c r="U20" s="15">
        <f>AVERAGE(2.5,2.5,2.2)*25/100</f>
        <v>0.6</v>
      </c>
      <c r="V20" s="7">
        <f>AVERAGE(0.6,0.5,0.4)*25/100</f>
        <v>0.125</v>
      </c>
      <c r="W20" s="20" t="s">
        <v>234</v>
      </c>
      <c r="X20" s="15"/>
      <c r="Y20" s="15"/>
      <c r="AA20" s="15"/>
      <c r="AB20" s="16"/>
      <c r="AC20" s="15"/>
      <c r="AD20" s="15"/>
      <c r="AE20" s="15"/>
      <c r="AF20" s="15"/>
      <c r="AJ20" s="15"/>
      <c r="AK20" s="15"/>
      <c r="AL20" s="15"/>
      <c r="AN20" s="15"/>
      <c r="AQ20" s="15"/>
      <c r="AR20" s="15"/>
      <c r="AT20" s="15"/>
      <c r="AW20" s="15"/>
      <c r="AX20" s="15"/>
      <c r="AY20" s="15"/>
      <c r="BA20" s="15"/>
      <c r="BC20" s="15"/>
      <c r="BD20" s="15"/>
      <c r="BF20" s="15"/>
      <c r="BH20" s="15"/>
      <c r="BI20" s="15"/>
      <c r="BM20" s="15"/>
      <c r="BN20" s="15"/>
      <c r="BQ20" s="15"/>
      <c r="BT20" s="15"/>
      <c r="BY20" s="15"/>
    </row>
    <row r="21" spans="1:77" ht="12.75">
      <c r="A21" s="7" t="s">
        <v>210</v>
      </c>
      <c r="B21" s="7">
        <f>AVERAGE(3.5,3.5,3.5)*25/100</f>
        <v>0.875</v>
      </c>
      <c r="C21" s="7">
        <f>AVERAGE(6.5,6.5,7)*25/100</f>
        <v>1.666666666666667</v>
      </c>
      <c r="D21" s="7">
        <f>AVERAGE(3.1,3,3)*25/100</f>
        <v>0.7583333333333333</v>
      </c>
      <c r="E21" s="7">
        <f>AVERAGE(3.2)*25/100</f>
        <v>0.8</v>
      </c>
      <c r="F21" s="15">
        <f>AVERAGE(2.5,2.5,2.4)*25/100</f>
        <v>0.6166666666666667</v>
      </c>
      <c r="G21" s="15">
        <f>AVERAGE(3.25,3.3,3.3)*25/100</f>
        <v>0.8208333333333333</v>
      </c>
      <c r="H21" s="7">
        <f>AVERAGE(6.5,6.5,7)*25/100</f>
        <v>1.666666666666667</v>
      </c>
      <c r="I21" s="20" t="s">
        <v>234</v>
      </c>
      <c r="J21" s="7">
        <f>AVERAGE(2,1.6,1.5)*25/100</f>
        <v>0.425</v>
      </c>
      <c r="K21" s="15">
        <f>AVERAGE(4.2,3.6,3.4,3.2,3.4)*25/100</f>
        <v>0.89</v>
      </c>
      <c r="L21" s="7">
        <f>AVERAGE(1.8,2,2)*25/100</f>
        <v>0.48333333333333334</v>
      </c>
      <c r="M21" s="7">
        <f>AVERAGE(3.8,3.8,4)*25/100</f>
        <v>0.9666666666666667</v>
      </c>
      <c r="N21" s="7">
        <f>AVERAGE(3.4,3.4,3.4)*25/100</f>
        <v>0.85</v>
      </c>
      <c r="O21" s="7">
        <f>AVERAGE(6.2,6,2,6.3)*25/100</f>
        <v>1.28125</v>
      </c>
      <c r="P21" s="15">
        <f>AVERAGE(1.5,1.5,1.5)*25/100</f>
        <v>0.375</v>
      </c>
      <c r="Q21" s="7">
        <f>AVERAGE(2.2,2.2,2)*25/100</f>
        <v>0.5333333333333333</v>
      </c>
      <c r="R21" s="7">
        <f>AVERAGE(3.4,3.4,3.3)*25/100</f>
        <v>0.8416666666666667</v>
      </c>
      <c r="S21" s="20" t="s">
        <v>234</v>
      </c>
      <c r="T21" s="7">
        <f>AVERAGE(12,12,12)*25/100</f>
        <v>3</v>
      </c>
      <c r="U21" s="15">
        <f>AVERAGE(1.9)*25/100</f>
        <v>0.475</v>
      </c>
      <c r="V21" s="20" t="s">
        <v>234</v>
      </c>
      <c r="W21" s="20" t="s">
        <v>234</v>
      </c>
      <c r="X21" s="15"/>
      <c r="Y21" s="15"/>
      <c r="AA21" s="15"/>
      <c r="AB21" s="16"/>
      <c r="AC21" s="15"/>
      <c r="AD21" s="15"/>
      <c r="AE21" s="15"/>
      <c r="AF21" s="15"/>
      <c r="AJ21" s="15"/>
      <c r="AK21" s="15"/>
      <c r="AL21" s="15"/>
      <c r="AN21" s="15"/>
      <c r="AQ21" s="15"/>
      <c r="AR21" s="15"/>
      <c r="AT21" s="15"/>
      <c r="AW21" s="15"/>
      <c r="AX21" s="15"/>
      <c r="AY21" s="15"/>
      <c r="BA21" s="15"/>
      <c r="BC21" s="15"/>
      <c r="BD21" s="15"/>
      <c r="BF21" s="15"/>
      <c r="BH21" s="15"/>
      <c r="BI21" s="15"/>
      <c r="BM21" s="15"/>
      <c r="BN21" s="15"/>
      <c r="BQ21" s="15"/>
      <c r="BT21" s="15"/>
      <c r="BY21" s="15"/>
    </row>
    <row r="22" spans="1:77" ht="12.75">
      <c r="A22" s="7" t="s">
        <v>211</v>
      </c>
      <c r="B22" s="7">
        <f>AVERAGE(0.4,0.3,0.4)*10/100</f>
        <v>0.03666666666666667</v>
      </c>
      <c r="C22" s="7">
        <f>AVERAGE(1.5,1.3,1.3)*10/100</f>
        <v>0.13666666666666663</v>
      </c>
      <c r="D22" s="7">
        <f>AVERAGE(0.4,0.6,0.6)*10/100</f>
        <v>0.05333333333333333</v>
      </c>
      <c r="E22" s="7">
        <f>AVERAGE(1.4,1.5)*10/100</f>
        <v>0.145</v>
      </c>
      <c r="F22" s="15">
        <f>AVERAGE(2.2,1.5,1.7,1.7,1.6)*10/100</f>
        <v>0.17400000000000002</v>
      </c>
      <c r="G22" s="16">
        <f>AVERAGE(1,1.3,1,2)*10/100</f>
        <v>0.1325</v>
      </c>
      <c r="H22" s="7">
        <f>AVERAGE(1.4,1.3,1.4)*10/100</f>
        <v>0.13666666666666663</v>
      </c>
      <c r="I22" s="20" t="s">
        <v>234</v>
      </c>
      <c r="J22" s="7">
        <f>AVERAGE(0.5,0.5)*10/100</f>
        <v>0.05</v>
      </c>
      <c r="K22" s="15">
        <f>AVERAGE(1.1,1,1,1)*10/100</f>
        <v>0.1025</v>
      </c>
      <c r="L22" s="7">
        <f>AVERAGE(0.9,0.8,1)*10/100</f>
        <v>0.09</v>
      </c>
      <c r="M22" s="7">
        <f>AVERAGE(1.2,1.2,1.3)*10/100</f>
        <v>0.12333333333333334</v>
      </c>
      <c r="N22" s="7">
        <f>AVERAGE(1.5,1.6,1.6)*10/100</f>
        <v>0.15666666666666665</v>
      </c>
      <c r="O22" s="7">
        <f>AVERAGE(1.4,1.4,1.4)*10/100</f>
        <v>0.13999999999999996</v>
      </c>
      <c r="P22" s="17">
        <f>AVERAGE(0.6,1.2,1.2,1.3)*10/100</f>
        <v>0.1075</v>
      </c>
      <c r="Q22" s="7">
        <f>AVERAGE(1.7,1.8,1.6)*10/100</f>
        <v>0.17</v>
      </c>
      <c r="R22" s="7">
        <f>AVERAGE(2.2,2.3,2.1)*10/100</f>
        <v>0.21999999999999997</v>
      </c>
      <c r="S22" s="20" t="s">
        <v>234</v>
      </c>
      <c r="T22" s="7">
        <f>AVERAGE(2.3,2.3,2.2)*10/100</f>
        <v>0.22666666666666666</v>
      </c>
      <c r="U22" s="15">
        <f>AVERAGE(0.6,0.5)*10/100</f>
        <v>0.055</v>
      </c>
      <c r="V22" s="20" t="s">
        <v>234</v>
      </c>
      <c r="W22" s="20" t="s">
        <v>234</v>
      </c>
      <c r="X22" s="16"/>
      <c r="Y22" s="16"/>
      <c r="AA22" s="15"/>
      <c r="AB22" s="16"/>
      <c r="AC22" s="15"/>
      <c r="AD22" s="15"/>
      <c r="AE22" s="15"/>
      <c r="AF22" s="15"/>
      <c r="AJ22" s="15"/>
      <c r="AK22" s="15"/>
      <c r="AL22" s="15"/>
      <c r="AN22" s="16"/>
      <c r="AQ22" s="15"/>
      <c r="AR22" s="15"/>
      <c r="AT22" s="16"/>
      <c r="AW22" s="15"/>
      <c r="AX22" s="15"/>
      <c r="AY22" s="15"/>
      <c r="BA22" s="15"/>
      <c r="BC22" s="15"/>
      <c r="BD22" s="15"/>
      <c r="BF22" s="16"/>
      <c r="BH22" s="16"/>
      <c r="BI22" s="15"/>
      <c r="BM22" s="15"/>
      <c r="BN22" s="15"/>
      <c r="BQ22" s="16"/>
      <c r="BT22" s="15"/>
      <c r="BY22" s="16"/>
    </row>
    <row r="23" spans="1:28" ht="12.75">
      <c r="A23" s="7" t="s">
        <v>212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20" t="s">
        <v>230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T23" s="7">
        <v>0</v>
      </c>
      <c r="U23" s="7">
        <v>0</v>
      </c>
      <c r="V23" s="7">
        <v>0</v>
      </c>
      <c r="X23" s="14"/>
      <c r="AB23" s="10"/>
    </row>
    <row r="24" spans="1:77" ht="12.75">
      <c r="A24" s="7" t="s">
        <v>213</v>
      </c>
      <c r="B24" s="7">
        <f>AVERAGE(4.75,5,5)*20/0.4</f>
        <v>245.83333333333334</v>
      </c>
      <c r="C24" s="7">
        <f>AVERAGE(6.45,7,6.5)*20/0.4</f>
        <v>332.5</v>
      </c>
      <c r="D24" s="7">
        <f>AVERAGE(4.75,4.5,4.5)*20/0.4</f>
        <v>229.16666666666663</v>
      </c>
      <c r="E24" s="7">
        <f>AVERAGE(5.7)*20/0.4</f>
        <v>285</v>
      </c>
      <c r="F24" s="14">
        <f>AVERAGE(6.5,6.6,6.5)*20/0.4</f>
        <v>326.6666666666667</v>
      </c>
      <c r="G24" s="14">
        <f>AVERAGE(3,3.1,3.1)*20/0.4</f>
        <v>153.33333333333331</v>
      </c>
      <c r="H24" s="7">
        <f>AVERAGE(3,4,4)*20/0.4</f>
        <v>183.33333333333331</v>
      </c>
      <c r="I24" s="7">
        <f>AVERAGE(0.2)*20/0.4</f>
        <v>10</v>
      </c>
      <c r="J24" s="7">
        <f>AVERAGE(2.2,2,2.3)*20/0.4</f>
        <v>108.33333333333331</v>
      </c>
      <c r="K24" s="23" t="s">
        <v>234</v>
      </c>
      <c r="L24" s="7">
        <f>AVERAGE(6.9,7,6.9)*20/0.4</f>
        <v>346.6666666666667</v>
      </c>
      <c r="M24" s="7">
        <f>AVERAGE(5.5,5.5,5.6)*20/0.4</f>
        <v>276.6666666666667</v>
      </c>
      <c r="N24" s="7">
        <f>AVERAGE(3.9,4,4.1)*20/0.4</f>
        <v>200</v>
      </c>
      <c r="O24" s="7">
        <f>AVERAGE(6.5,6.3,6.5)*20/0.4</f>
        <v>321.6666666666667</v>
      </c>
      <c r="P24" s="14">
        <f>AVERAGE(1.5,1.5,1.5,1)*20/0.4</f>
        <v>68.75</v>
      </c>
      <c r="Q24" s="7">
        <f>AVERAGE(2.5,2.4,2.4)*20/0.4</f>
        <v>121.66666666666667</v>
      </c>
      <c r="R24" s="7">
        <f>AVERAGE(7.3,7.2,7.2)*20/0.4</f>
        <v>361.66666666666663</v>
      </c>
      <c r="S24" s="7">
        <f>AVERAGE(3.4,3.6)*20/0.4</f>
        <v>175</v>
      </c>
      <c r="T24" s="7">
        <f>AVERAGE(1.4,1.2,1.3)*20/0.4</f>
        <v>64.99999999999999</v>
      </c>
      <c r="U24" s="14">
        <f>AVERAGE(7)*20/0.4</f>
        <v>350</v>
      </c>
      <c r="V24" s="7">
        <f>AVERAGE(4)*20/0.4</f>
        <v>200</v>
      </c>
      <c r="W24" s="7">
        <f>AVERAGE(7.7)*20/0.4</f>
        <v>385</v>
      </c>
      <c r="X24" s="14"/>
      <c r="Y24" s="14"/>
      <c r="AA24" s="14"/>
      <c r="AB24" s="18"/>
      <c r="AC24" s="14"/>
      <c r="AD24" s="14"/>
      <c r="AE24" s="14"/>
      <c r="AF24" s="14"/>
      <c r="AJ24" s="14"/>
      <c r="AK24" s="14"/>
      <c r="AL24" s="14"/>
      <c r="AN24" s="14"/>
      <c r="AQ24" s="14"/>
      <c r="AR24" s="14"/>
      <c r="AT24" s="14"/>
      <c r="AW24" s="14"/>
      <c r="AX24" s="14"/>
      <c r="AY24" s="14"/>
      <c r="BA24" s="14"/>
      <c r="BC24" s="14"/>
      <c r="BD24" s="14"/>
      <c r="BF24" s="14"/>
      <c r="BH24" s="14"/>
      <c r="BI24" s="14"/>
      <c r="BM24" s="14"/>
      <c r="BN24" s="14"/>
      <c r="BQ24" s="14"/>
      <c r="BT24" s="14"/>
      <c r="BY24" s="14"/>
    </row>
    <row r="26" spans="16:50" ht="12.75">
      <c r="P26" s="19"/>
      <c r="AB26" s="19"/>
      <c r="AX26" s="19"/>
    </row>
    <row r="27" spans="1:22" ht="12.75">
      <c r="A27" s="7" t="s">
        <v>214</v>
      </c>
      <c r="B27" s="7">
        <f>B19/B20</f>
        <v>1.6916666666666667</v>
      </c>
      <c r="C27" s="7">
        <f>C19/C20</f>
        <v>2.088888888888889</v>
      </c>
      <c r="D27" s="7">
        <f>D19/D20</f>
        <v>1.8045112781954886</v>
      </c>
      <c r="E27" s="7">
        <f>E19/E20</f>
        <v>1.8260869565217392</v>
      </c>
      <c r="F27" s="7">
        <f>F19/F20</f>
        <v>1.5681818181818183</v>
      </c>
      <c r="G27" s="7">
        <f>G19/G20</f>
        <v>2.3863636363636367</v>
      </c>
      <c r="H27" s="20" t="s">
        <v>234</v>
      </c>
      <c r="I27" s="7">
        <f>I19/I20</f>
        <v>1.5402298850574714</v>
      </c>
      <c r="J27" s="7">
        <f>J19/J20</f>
        <v>1.8313253012048194</v>
      </c>
      <c r="K27" s="20" t="s">
        <v>234</v>
      </c>
      <c r="L27" s="7">
        <f>L19/L20</f>
        <v>1.804878048780488</v>
      </c>
      <c r="M27" s="7">
        <f>M19/M20</f>
        <v>1.9716312056737593</v>
      </c>
      <c r="N27" s="7">
        <f>N19/N20</f>
        <v>1.7462686567164178</v>
      </c>
      <c r="O27" s="7">
        <f>O19/O20</f>
        <v>2.338235294117647</v>
      </c>
      <c r="P27" s="7">
        <f>P19/P20</f>
        <v>1.2222222222222223</v>
      </c>
      <c r="Q27" s="7">
        <f>Q19/Q20</f>
        <v>1.2296296296296299</v>
      </c>
      <c r="R27" s="7">
        <f>R19/R20</f>
        <v>1.6375838926174495</v>
      </c>
      <c r="T27" s="7">
        <f>T19/T20</f>
        <v>4.96808510638298</v>
      </c>
      <c r="U27" s="7">
        <f>U19/U20</f>
        <v>1.4583333333333335</v>
      </c>
      <c r="V27" s="7">
        <f>V19/V20</f>
        <v>1.7999999999999998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SUP</cp:lastModifiedBy>
  <dcterms:created xsi:type="dcterms:W3CDTF">1996-10-08T23:32:33Z</dcterms:created>
  <dcterms:modified xsi:type="dcterms:W3CDTF">2006-12-08T18:06:25Z</dcterms:modified>
  <cp:category/>
  <cp:version/>
  <cp:contentType/>
  <cp:contentStatus/>
</cp:coreProperties>
</file>